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C:\Users\Listermann\MDECA Dropbox\Brianna Listermann\EPC Food Service News (2)\CEP ANALYSIS WORKSHEET\"/>
    </mc:Choice>
  </mc:AlternateContent>
  <xr:revisionPtr revIDLastSave="0" documentId="13_ncr:1_{056A1260-9E6B-4FF1-8C89-4C5B72281845}" xr6:coauthVersionLast="47" xr6:coauthVersionMax="47" xr10:uidLastSave="{00000000-0000-0000-0000-000000000000}"/>
  <workbookProtection workbookAlgorithmName="SHA-512" workbookHashValue="jadjTEvnAFKx8lyXazN1PdSRkLJD6SJwaa5Kt50R73A/qaaq8AsfjOHIj0TWjWKcdtzdzvA6ozF9yG+YLYIy7g==" workbookSaltValue="f9uO2W091G7ZGw+VxiiPpg==" workbookSpinCount="100000" lockStructure="1"/>
  <bookViews>
    <workbookView xWindow="-120" yWindow="-120" windowWidth="29040" windowHeight="17520" xr2:uid="{342CB716-AB3A-4852-B565-77175528DE7F}"/>
  </bookViews>
  <sheets>
    <sheet name="CEP Analysis" sheetId="2" r:id="rId1"/>
  </sheets>
  <definedNames>
    <definedName name="_xlnm.Print_Area" localSheetId="0">'CEP Analysis'!$B$1:$P$54</definedName>
    <definedName name="_xlnm.Print_Titles" localSheetId="0">'CEP Analysis'!$1:$1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45" i="2" l="1"/>
  <c r="D45" i="2"/>
  <c r="E43" i="2"/>
  <c r="D43" i="2"/>
  <c r="I45" i="2"/>
  <c r="I43" i="2"/>
  <c r="C41" i="2"/>
  <c r="G45" i="2" l="1"/>
  <c r="G43" i="2"/>
  <c r="K41" i="2"/>
  <c r="G29" i="2"/>
  <c r="G27" i="2"/>
  <c r="G10" i="2"/>
  <c r="F10" i="2"/>
  <c r="H5" i="2"/>
  <c r="G5" i="2"/>
  <c r="F5" i="2"/>
  <c r="K45" i="2" l="1"/>
  <c r="K43" i="2"/>
  <c r="N41" i="2"/>
  <c r="H13" i="2"/>
  <c r="G13" i="2"/>
  <c r="I37" i="2"/>
  <c r="G37" i="2" s="1"/>
  <c r="I35" i="2"/>
  <c r="G35" i="2" s="1"/>
  <c r="C25" i="2"/>
  <c r="K25" i="2" s="1"/>
  <c r="E21" i="2"/>
  <c r="E29" i="2" s="1"/>
  <c r="E37" i="2" s="1"/>
  <c r="E19" i="2"/>
  <c r="E27" i="2" s="1"/>
  <c r="E35" i="2" s="1"/>
  <c r="D21" i="2"/>
  <c r="D29" i="2" s="1"/>
  <c r="D37" i="2" s="1"/>
  <c r="D19" i="2"/>
  <c r="D27" i="2" s="1"/>
  <c r="D35" i="2" s="1"/>
  <c r="K17" i="2"/>
  <c r="N17" i="2" s="1"/>
  <c r="M12" i="2"/>
  <c r="L12" i="2"/>
  <c r="K12" i="2"/>
  <c r="M11" i="2"/>
  <c r="L11" i="2"/>
  <c r="K11" i="2"/>
  <c r="M10" i="2"/>
  <c r="L10" i="2"/>
  <c r="K10" i="2"/>
  <c r="K6" i="2"/>
  <c r="L6" i="2"/>
  <c r="M6" i="2"/>
  <c r="K7" i="2"/>
  <c r="L7" i="2"/>
  <c r="M7" i="2"/>
  <c r="L5" i="2"/>
  <c r="K5" i="2"/>
  <c r="M5" i="2"/>
  <c r="I11" i="2"/>
  <c r="I12" i="2"/>
  <c r="F13" i="2"/>
  <c r="I10" i="2"/>
  <c r="I6" i="2"/>
  <c r="I7" i="2"/>
  <c r="G8" i="2"/>
  <c r="H8" i="2"/>
  <c r="F8" i="2"/>
  <c r="I5" i="2"/>
  <c r="M43" i="2" l="1"/>
  <c r="N43" i="2" s="1"/>
  <c r="O43" i="2" s="1"/>
  <c r="M45" i="2"/>
  <c r="N45" i="2" s="1"/>
  <c r="C33" i="2"/>
  <c r="K33" i="2" s="1"/>
  <c r="K35" i="2" s="1"/>
  <c r="N25" i="2"/>
  <c r="K29" i="2"/>
  <c r="K27" i="2"/>
  <c r="N10" i="2"/>
  <c r="K8" i="2"/>
  <c r="L8" i="2"/>
  <c r="M8" i="2"/>
  <c r="N6" i="2"/>
  <c r="N11" i="2"/>
  <c r="I13" i="2"/>
  <c r="I21" i="2" s="1"/>
  <c r="G21" i="2" s="1"/>
  <c r="H37" i="2" s="1"/>
  <c r="N7" i="2"/>
  <c r="N12" i="2"/>
  <c r="I8" i="2"/>
  <c r="H9" i="2" s="1"/>
  <c r="N5" i="2"/>
  <c r="I19" i="2" l="1"/>
  <c r="K19" i="2" s="1"/>
  <c r="G19" i="2"/>
  <c r="F9" i="2"/>
  <c r="N46" i="2"/>
  <c r="O45" i="2"/>
  <c r="H45" i="2"/>
  <c r="H29" i="2"/>
  <c r="F14" i="2"/>
  <c r="G14" i="2"/>
  <c r="G9" i="2"/>
  <c r="H14" i="2"/>
  <c r="K37" i="2"/>
  <c r="N33" i="2"/>
  <c r="M37" i="2" s="1"/>
  <c r="N13" i="2"/>
  <c r="K21" i="2"/>
  <c r="M21" i="2"/>
  <c r="M27" i="2"/>
  <c r="N27" i="2" s="1"/>
  <c r="O27" i="2" s="1"/>
  <c r="M29" i="2"/>
  <c r="N29" i="2" s="1"/>
  <c r="O29" i="2" s="1"/>
  <c r="N8" i="2"/>
  <c r="O8" i="2" s="1"/>
  <c r="M19" i="2" l="1"/>
  <c r="H35" i="2"/>
  <c r="H43" i="2"/>
  <c r="H27" i="2"/>
  <c r="M35" i="2"/>
  <c r="N35" i="2" s="1"/>
  <c r="O35" i="2" s="1"/>
  <c r="N37" i="2"/>
  <c r="O13" i="2"/>
  <c r="N14" i="2"/>
  <c r="N21" i="2"/>
  <c r="N38" i="2" l="1"/>
  <c r="O37" i="2"/>
  <c r="N19" i="2"/>
  <c r="O21" i="2"/>
  <c r="O19" i="2" l="1"/>
  <c r="N22" i="2"/>
  <c r="N30" i="2" l="1"/>
</calcChain>
</file>

<file path=xl/sharedStrings.xml><?xml version="1.0" encoding="utf-8"?>
<sst xmlns="http://schemas.openxmlformats.org/spreadsheetml/2006/main" count="137" uniqueCount="65">
  <si>
    <t>Free</t>
  </si>
  <si>
    <t>Reduced</t>
  </si>
  <si>
    <t>Paid</t>
  </si>
  <si>
    <t xml:space="preserve"> </t>
  </si>
  <si>
    <t>Breakfast Elem</t>
  </si>
  <si>
    <t>Lunch Elem</t>
  </si>
  <si>
    <t>Lunch HS/Middle</t>
  </si>
  <si>
    <t>Total Meals</t>
  </si>
  <si>
    <t>Total Revenue</t>
  </si>
  <si>
    <t>CEP Breakfast</t>
  </si>
  <si>
    <t>CEP Lunch</t>
  </si>
  <si>
    <t>Non-CEP (based on 23-24 YTD Meals</t>
  </si>
  <si>
    <t>CEP (based on 23-24 YTD Meals</t>
  </si>
  <si>
    <t>Breakfast Middle (if different price)</t>
  </si>
  <si>
    <t>Breakfast High School (If different price)</t>
  </si>
  <si>
    <t>Lunch Middle (if different Price</t>
  </si>
  <si>
    <t>Lunch High School (if Different Price)</t>
  </si>
  <si>
    <t>AVG Revenue Per Meal</t>
  </si>
  <si>
    <t>Annual Free Projected Meals</t>
  </si>
  <si>
    <t>Annual Reduced Projected Meals</t>
  </si>
  <si>
    <t>Annual Paid Projected Meals</t>
  </si>
  <si>
    <t>2023-2024 Free Reimbursement Rate</t>
  </si>
  <si>
    <t>2023-2024 PAID  Reimb Rate</t>
  </si>
  <si>
    <t>IDENTIFIED %</t>
  </si>
  <si>
    <t xml:space="preserve">% of Meals Reimbursed at Free Rate: </t>
  </si>
  <si>
    <t xml:space="preserve">% of Meals Reimubrsed at Paid Rate:  </t>
  </si>
  <si>
    <t>Breakfast</t>
  </si>
  <si>
    <t>Lunch</t>
  </si>
  <si>
    <t>Total Meals Served 21-22</t>
  </si>
  <si>
    <t>Multiplier</t>
  </si>
  <si>
    <t>% OF 21-22 Meals Expected:</t>
  </si>
  <si>
    <t>Paid Meal Price</t>
  </si>
  <si>
    <t>Total Meals Projected using % of 21-22 Noted in Yellow to Left</t>
  </si>
  <si>
    <t xml:space="preserve">OTHER CONSIDERATIONS:  </t>
  </si>
  <si>
    <t>Did Ala Carte Sales go up or Down during Covid (ALL FREE) year, 21/22?   Will the same hold true for Ala Carte Sales if CEP moving forward?</t>
  </si>
  <si>
    <t xml:space="preserve">If you qualify for CEP in 24-25 that is valid  for 5 years total.   Currently the Medicaid reported  Direct Cert  Free numbers are higher than normal due to first year glitch in ODDEX.  If you qualify based on current direct cert numbers, will you qualify again 5 years later. </t>
  </si>
  <si>
    <t xml:space="preserve">% of Meals Reimbursed  at Paid Rate:  </t>
  </si>
  <si>
    <t xml:space="preserve">Would you need to increase labor (Salary or Benefit Positions Especially) if your meal counts went up dramtically due to CEP?       </t>
  </si>
  <si>
    <t xml:space="preserve">Review 21-22 Meal Servicve Process-    Were you passing out 5 day bags to all students to take home and did that affect your meal counts greatly?  That would not be allowed with CEP so be sure to look at the last example when you decide what % of 21-22 meal counts are needed to break even.  </t>
  </si>
  <si>
    <t>Increase from current</t>
  </si>
  <si>
    <t>Daily Average</t>
  </si>
  <si>
    <r>
      <rPr>
        <b/>
        <u/>
        <sz val="36"/>
        <color theme="8" tint="-0.499984740745262"/>
        <rFont val="Calibri"/>
        <family val="2"/>
        <scheme val="minor"/>
      </rPr>
      <t>District:</t>
    </r>
    <r>
      <rPr>
        <b/>
        <sz val="36"/>
        <color theme="8" tint="-0.499984740745262"/>
        <rFont val="Calibri"/>
        <family val="2"/>
        <scheme val="minor"/>
      </rPr>
      <t xml:space="preserve">  District ABC                                                                                                                                                2/16/2024   Identified: 1055/1851 = 57%</t>
    </r>
  </si>
  <si>
    <r>
      <rPr>
        <b/>
        <u/>
        <sz val="48"/>
        <color rgb="FFFF0000"/>
        <rFont val="Calibri"/>
        <family val="2"/>
        <scheme val="minor"/>
      </rPr>
      <t xml:space="preserve">CEP AND USING </t>
    </r>
    <r>
      <rPr>
        <b/>
        <i/>
        <u/>
        <sz val="48"/>
        <color rgb="FFFF0000"/>
        <rFont val="Calibri"/>
        <family val="2"/>
        <scheme val="minor"/>
      </rPr>
      <t>21-22 ACTUAL MEAL COUNTS   (Same meal counts as when all free during Covid)</t>
    </r>
    <r>
      <rPr>
        <b/>
        <i/>
        <sz val="48"/>
        <color rgb="FFFF0000"/>
        <rFont val="Calibri"/>
        <family val="2"/>
        <scheme val="minor"/>
      </rPr>
      <t xml:space="preserve">                                                                                                                                </t>
    </r>
    <r>
      <rPr>
        <b/>
        <sz val="48"/>
        <color rgb="FFFF0000"/>
        <rFont val="Calibri"/>
        <family val="2"/>
        <scheme val="minor"/>
      </rPr>
      <t xml:space="preserve">  </t>
    </r>
  </si>
  <si>
    <r>
      <rPr>
        <b/>
        <u/>
        <sz val="48"/>
        <color rgb="FFFF0000"/>
        <rFont val="Calibri"/>
        <family val="2"/>
        <scheme val="minor"/>
      </rPr>
      <t xml:space="preserve">CEP AND USING A PERCENTAGE OF </t>
    </r>
    <r>
      <rPr>
        <i/>
        <u/>
        <sz val="48"/>
        <color rgb="FFFF0000"/>
        <rFont val="Calibri"/>
        <family val="2"/>
        <scheme val="minor"/>
      </rPr>
      <t xml:space="preserve"> </t>
    </r>
    <r>
      <rPr>
        <b/>
        <i/>
        <u/>
        <sz val="48"/>
        <color rgb="FFFF0000"/>
        <rFont val="Calibri"/>
        <family val="2"/>
        <scheme val="minor"/>
      </rPr>
      <t xml:space="preserve">21-22 ACTUAL MEAL COUNTS </t>
    </r>
    <r>
      <rPr>
        <b/>
        <i/>
        <sz val="48"/>
        <color rgb="FFFF0000"/>
        <rFont val="Calibri"/>
        <family val="2"/>
        <scheme val="minor"/>
      </rPr>
      <t xml:space="preserve"> </t>
    </r>
    <r>
      <rPr>
        <b/>
        <sz val="48"/>
        <color rgb="FFFF0000"/>
        <rFont val="Calibri"/>
        <family val="2"/>
        <scheme val="minor"/>
      </rPr>
      <t xml:space="preserve">   ( Determine  % Of 21-22 Meals to Breakeven Point)                                                                                                                                                                                                                                                                                                                                                                                                                                                                                                                                                                  </t>
    </r>
  </si>
  <si>
    <r>
      <t xml:space="preserve">CEP AND USING </t>
    </r>
    <r>
      <rPr>
        <b/>
        <i/>
        <u/>
        <sz val="48"/>
        <color rgb="FFFF0000"/>
        <rFont val="Calibri"/>
        <family val="2"/>
        <scheme val="minor"/>
      </rPr>
      <t>23-24 MEAL COUNTS    (No increase in Meal Counts from Current)</t>
    </r>
  </si>
  <si>
    <t xml:space="preserve">CEP (based on 21-22 Meals </t>
  </si>
  <si>
    <t xml:space="preserve">CEP (based on a % of 21-22 Meals </t>
  </si>
  <si>
    <t>Other Funding</t>
  </si>
  <si>
    <t>Determine the financial impact on other programs if you economically disadvantage numbers change</t>
  </si>
  <si>
    <t>Groups</t>
  </si>
  <si>
    <t xml:space="preserve">Can qualify by building, by group of buildings, or by district. </t>
  </si>
  <si>
    <t>Labor Costs</t>
  </si>
  <si>
    <t>Future Identified %</t>
  </si>
  <si>
    <t>Ala Carte Sales</t>
  </si>
  <si>
    <t>21-22 Special Circumstances</t>
  </si>
  <si>
    <t>Cash Balance</t>
  </si>
  <si>
    <t>If you have a high cash balance, you may consider a slight loss for next 5 years  (or less or more) if board/community understand it may revert back to paid meals at some point</t>
  </si>
  <si>
    <t xml:space="preserve">CEP Based on Expected Lunch Participation % and Expected Breakfast Participation %) </t>
  </si>
  <si>
    <t>Enrollment</t>
  </si>
  <si>
    <t>CEP (based on above Lunch Partticipation % and Breakfast Participation % expected</t>
  </si>
  <si>
    <r>
      <t xml:space="preserve">                                          </t>
    </r>
    <r>
      <rPr>
        <b/>
        <sz val="72"/>
        <color theme="8" tint="-0.499984740745262"/>
        <rFont val="Calibri"/>
        <family val="2"/>
        <scheme val="minor"/>
      </rPr>
      <t xml:space="preserve">CEP Financial Analysis Worksheet      </t>
    </r>
    <r>
      <rPr>
        <b/>
        <sz val="48"/>
        <color theme="8" tint="-0.499984740745262"/>
        <rFont val="Calibri"/>
        <family val="2"/>
        <scheme val="minor"/>
      </rPr>
      <t xml:space="preserve">                                                                                                                              </t>
    </r>
    <r>
      <rPr>
        <b/>
        <sz val="36"/>
        <color theme="8" tint="-0.499984740745262"/>
        <rFont val="Calibri"/>
        <family val="2"/>
        <scheme val="minor"/>
      </rPr>
      <t xml:space="preserve"> </t>
    </r>
    <r>
      <rPr>
        <b/>
        <sz val="36"/>
        <color rgb="FFFF0000"/>
        <rFont val="Calibri"/>
        <family val="2"/>
        <scheme val="minor"/>
      </rPr>
      <t>Enter data in yellow fields only.</t>
    </r>
    <r>
      <rPr>
        <b/>
        <sz val="36"/>
        <color theme="8" tint="-0.499984740745262"/>
        <rFont val="Calibri"/>
        <family val="2"/>
        <scheme val="minor"/>
      </rPr>
      <t xml:space="preserve">  </t>
    </r>
    <r>
      <rPr>
        <b/>
        <sz val="36"/>
        <color rgb="FFFF0000"/>
        <rFont val="Calibri"/>
        <family val="2"/>
        <scheme val="minor"/>
      </rPr>
      <t>You will need: 23-24 YTD meal stats (paid/free/reduced)  and # of serving days, 21-22 Lunches and Breakfasts served (totals only) , Identified Student Count, Total enrollment (include only those attending in buildings and that have access to meals</t>
    </r>
  </si>
  <si>
    <t>NO CEP AND USING 23-24 ANNUAL MEAL COUNTS PROJECTED</t>
  </si>
  <si>
    <r>
      <t xml:space="preserve">To Calculate 23-24 Projected Annual Meal Counts:                                                                                                                                                                                                                                                                                                                                                                                                     </t>
    </r>
    <r>
      <rPr>
        <b/>
        <sz val="36"/>
        <color rgb="FFFF0000"/>
        <rFont val="Calibri"/>
        <family val="2"/>
        <scheme val="minor"/>
      </rPr>
      <t xml:space="preserve"> </t>
    </r>
    <r>
      <rPr>
        <b/>
        <sz val="36"/>
        <rFont val="Calibri"/>
        <family val="2"/>
        <scheme val="minor"/>
      </rPr>
      <t xml:space="preserve">Total Meals Served YTD/School Days YTD= Average Daily Meal Count.  Average Daily Meal Count  x 172 Projected School Days = Projected Annual Meals                                                                                                                                                                                                                                                                                   </t>
    </r>
    <r>
      <rPr>
        <b/>
        <u/>
        <sz val="36"/>
        <rFont val="Calibri"/>
        <family val="2"/>
        <scheme val="minor"/>
      </rPr>
      <t xml:space="preserve">IDENTIFIED PERCENTAGE= IDENTIFIED STUDENT COUNT/ENROLLMENT  (IDENTIFIED STUDENT COUNT DOES NOT INCLUDE ANY  REDUCED STUDENTS OR ANY FREE STUDENTS  APPROVED BY APPLICATION PROCESS </t>
    </r>
  </si>
  <si>
    <t>Breakfast participation %  Expected</t>
  </si>
  <si>
    <t>Lunch Participation % Expected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</si>
</sst>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0.0%"/>
  </numFmts>
  <fonts count="29" x14ac:knownFonts="1">
    <font>
      <sz val="11"/>
      <color theme="1"/>
      <name val="Calibri"/>
      <family val="2"/>
      <scheme val="minor"/>
    </font>
    <font>
      <sz val="11"/>
      <color theme="1"/>
      <name val="Calibri"/>
      <family val="2"/>
      <scheme val="minor"/>
    </font>
    <font>
      <sz val="14"/>
      <color theme="1"/>
      <name val="Calibri"/>
      <family val="2"/>
      <scheme val="minor"/>
    </font>
    <font>
      <b/>
      <sz val="18"/>
      <color theme="1"/>
      <name val="Calibri"/>
      <family val="2"/>
      <scheme val="minor"/>
    </font>
    <font>
      <b/>
      <sz val="20"/>
      <color rgb="FFFF0000"/>
      <name val="Calibri"/>
      <family val="2"/>
      <scheme val="minor"/>
    </font>
    <font>
      <b/>
      <sz val="18"/>
      <color rgb="FFFF0000"/>
      <name val="Calibri"/>
      <family val="2"/>
      <scheme val="minor"/>
    </font>
    <font>
      <b/>
      <sz val="24"/>
      <color rgb="FFFF0000"/>
      <name val="Calibri"/>
      <family val="2"/>
      <scheme val="minor"/>
    </font>
    <font>
      <b/>
      <sz val="48"/>
      <color theme="8" tint="-0.499984740745262"/>
      <name val="Calibri"/>
      <family val="2"/>
      <scheme val="minor"/>
    </font>
    <font>
      <sz val="36"/>
      <color theme="1"/>
      <name val="Calibri"/>
      <family val="2"/>
      <scheme val="minor"/>
    </font>
    <font>
      <b/>
      <sz val="24"/>
      <color theme="1"/>
      <name val="Calibri"/>
      <family val="2"/>
      <scheme val="minor"/>
    </font>
    <font>
      <b/>
      <sz val="26"/>
      <color rgb="FFFF0000"/>
      <name val="Calibri"/>
      <family val="2"/>
      <scheme val="minor"/>
    </font>
    <font>
      <b/>
      <sz val="26"/>
      <color theme="1"/>
      <name val="Calibri"/>
      <family val="2"/>
      <scheme val="minor"/>
    </font>
    <font>
      <sz val="26"/>
      <color theme="1"/>
      <name val="Calibri"/>
      <family val="2"/>
      <scheme val="minor"/>
    </font>
    <font>
      <b/>
      <sz val="36"/>
      <color theme="8" tint="-0.499984740745262"/>
      <name val="Calibri"/>
      <family val="2"/>
      <scheme val="minor"/>
    </font>
    <font>
      <b/>
      <u/>
      <sz val="36"/>
      <color theme="8" tint="-0.499984740745262"/>
      <name val="Calibri"/>
      <family val="2"/>
      <scheme val="minor"/>
    </font>
    <font>
      <b/>
      <sz val="36"/>
      <color rgb="FFFF0000"/>
      <name val="Calibri"/>
      <family val="2"/>
      <scheme val="minor"/>
    </font>
    <font>
      <b/>
      <sz val="36"/>
      <color theme="1"/>
      <name val="Calibri"/>
      <family val="2"/>
      <scheme val="minor"/>
    </font>
    <font>
      <b/>
      <sz val="48"/>
      <color rgb="FFFF0000"/>
      <name val="Calibri"/>
      <family val="2"/>
      <scheme val="minor"/>
    </font>
    <font>
      <b/>
      <u/>
      <sz val="48"/>
      <color rgb="FFFF0000"/>
      <name val="Calibri"/>
      <family val="2"/>
      <scheme val="minor"/>
    </font>
    <font>
      <b/>
      <i/>
      <u/>
      <sz val="48"/>
      <color rgb="FFFF0000"/>
      <name val="Calibri"/>
      <family val="2"/>
      <scheme val="minor"/>
    </font>
    <font>
      <b/>
      <i/>
      <sz val="48"/>
      <color rgb="FFFF0000"/>
      <name val="Calibri"/>
      <family val="2"/>
      <scheme val="minor"/>
    </font>
    <font>
      <b/>
      <sz val="48"/>
      <color theme="1"/>
      <name val="Calibri"/>
      <family val="2"/>
      <scheme val="minor"/>
    </font>
    <font>
      <i/>
      <u/>
      <sz val="48"/>
      <color rgb="FFFF0000"/>
      <name val="Calibri"/>
      <family val="2"/>
      <scheme val="minor"/>
    </font>
    <font>
      <b/>
      <sz val="36"/>
      <name val="Calibri"/>
      <family val="2"/>
      <scheme val="minor"/>
    </font>
    <font>
      <b/>
      <sz val="28"/>
      <color rgb="FFFF0000"/>
      <name val="Calibri"/>
      <family val="2"/>
      <scheme val="minor"/>
    </font>
    <font>
      <sz val="28"/>
      <color theme="1"/>
      <name val="Calibri"/>
      <family val="2"/>
      <scheme val="minor"/>
    </font>
    <font>
      <b/>
      <sz val="28"/>
      <color theme="1"/>
      <name val="Calibri"/>
      <family val="2"/>
      <scheme val="minor"/>
    </font>
    <font>
      <b/>
      <sz val="72"/>
      <color theme="8" tint="-0.499984740745262"/>
      <name val="Calibri"/>
      <family val="2"/>
      <scheme val="minor"/>
    </font>
    <font>
      <b/>
      <u/>
      <sz val="36"/>
      <name val="Calibri"/>
      <family val="2"/>
      <scheme val="minor"/>
    </font>
  </fonts>
  <fills count="8">
    <fill>
      <patternFill patternType="none"/>
    </fill>
    <fill>
      <patternFill patternType="gray125"/>
    </fill>
    <fill>
      <patternFill patternType="solid">
        <fgColor theme="1"/>
        <bgColor indexed="64"/>
      </patternFill>
    </fill>
    <fill>
      <patternFill patternType="solid">
        <fgColor theme="9" tint="0.59999389629810485"/>
        <bgColor indexed="64"/>
      </patternFill>
    </fill>
    <fill>
      <patternFill patternType="solid">
        <fgColor theme="0"/>
        <bgColor indexed="64"/>
      </patternFill>
    </fill>
    <fill>
      <patternFill patternType="solid">
        <fgColor theme="9" tint="0.79998168889431442"/>
        <bgColor indexed="64"/>
      </patternFill>
    </fill>
    <fill>
      <patternFill patternType="solid">
        <fgColor rgb="FFFFFF00"/>
        <bgColor indexed="64"/>
      </patternFill>
    </fill>
    <fill>
      <patternFill patternType="solid">
        <fgColor rgb="FFFF0000"/>
        <bgColor indexed="64"/>
      </patternFill>
    </fill>
  </fills>
  <borders count="25">
    <border>
      <left/>
      <right/>
      <top/>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159">
    <xf numFmtId="0" fontId="0" fillId="0" borderId="0" xfId="0"/>
    <xf numFmtId="0" fontId="2" fillId="0" borderId="0" xfId="0" applyFont="1" applyAlignment="1">
      <alignment wrapText="1"/>
    </xf>
    <xf numFmtId="44" fontId="2" fillId="0" borderId="0" xfId="1" applyFont="1" applyAlignment="1" applyProtection="1">
      <alignment wrapText="1"/>
    </xf>
    <xf numFmtId="0" fontId="2" fillId="0" borderId="0" xfId="0" applyFont="1"/>
    <xf numFmtId="0" fontId="2" fillId="4" borderId="0" xfId="0" applyFont="1" applyFill="1"/>
    <xf numFmtId="0" fontId="2" fillId="2" borderId="0" xfId="0" applyFont="1" applyFill="1"/>
    <xf numFmtId="0" fontId="3" fillId="4" borderId="0" xfId="0" applyFont="1" applyFill="1" applyAlignment="1">
      <alignment wrapText="1"/>
    </xf>
    <xf numFmtId="0" fontId="3" fillId="0" borderId="0" xfId="0" applyFont="1" applyAlignment="1">
      <alignment wrapText="1"/>
    </xf>
    <xf numFmtId="0" fontId="9" fillId="4" borderId="0" xfId="0" applyFont="1" applyFill="1" applyAlignment="1">
      <alignment wrapText="1"/>
    </xf>
    <xf numFmtId="0" fontId="9" fillId="0" borderId="0" xfId="0" applyFont="1" applyAlignment="1">
      <alignment wrapText="1"/>
    </xf>
    <xf numFmtId="0" fontId="9" fillId="4" borderId="14" xfId="0" applyFont="1" applyFill="1" applyBorder="1" applyAlignment="1">
      <alignment wrapText="1"/>
    </xf>
    <xf numFmtId="0" fontId="9" fillId="0" borderId="14" xfId="0" applyFont="1" applyBorder="1" applyAlignment="1">
      <alignment wrapText="1"/>
    </xf>
    <xf numFmtId="0" fontId="4" fillId="0" borderId="6" xfId="0" applyFont="1" applyBorder="1" applyAlignment="1">
      <alignment horizontal="center" wrapText="1"/>
    </xf>
    <xf numFmtId="0" fontId="2" fillId="4" borderId="8" xfId="0" applyFont="1" applyFill="1" applyBorder="1"/>
    <xf numFmtId="0" fontId="9" fillId="4" borderId="9" xfId="0" applyFont="1" applyFill="1" applyBorder="1" applyAlignment="1">
      <alignment wrapText="1"/>
    </xf>
    <xf numFmtId="0" fontId="3" fillId="4" borderId="9" xfId="0" applyFont="1" applyFill="1" applyBorder="1" applyAlignment="1">
      <alignment wrapText="1"/>
    </xf>
    <xf numFmtId="0" fontId="2" fillId="2" borderId="1" xfId="0" applyFont="1" applyFill="1" applyBorder="1" applyAlignment="1">
      <alignment wrapText="1"/>
    </xf>
    <xf numFmtId="44" fontId="2" fillId="2" borderId="0" xfId="1" applyFont="1" applyFill="1" applyBorder="1" applyAlignment="1" applyProtection="1">
      <alignment wrapText="1"/>
    </xf>
    <xf numFmtId="0" fontId="2" fillId="2" borderId="0" xfId="0" applyFont="1" applyFill="1" applyAlignment="1">
      <alignment wrapText="1"/>
    </xf>
    <xf numFmtId="0" fontId="2" fillId="4" borderId="9" xfId="0" applyFont="1" applyFill="1" applyBorder="1"/>
    <xf numFmtId="0" fontId="3" fillId="2" borderId="0" xfId="0" applyFont="1" applyFill="1" applyAlignment="1">
      <alignment wrapText="1"/>
    </xf>
    <xf numFmtId="44" fontId="5" fillId="2" borderId="0" xfId="1" applyFont="1" applyFill="1" applyBorder="1" applyProtection="1"/>
    <xf numFmtId="0" fontId="5" fillId="2" borderId="0" xfId="0" applyFont="1" applyFill="1"/>
    <xf numFmtId="44" fontId="2" fillId="2" borderId="0" xfId="1" applyFont="1" applyFill="1" applyBorder="1" applyProtection="1"/>
    <xf numFmtId="0" fontId="9" fillId="4" borderId="15" xfId="0" applyFont="1" applyFill="1" applyBorder="1" applyAlignment="1">
      <alignment wrapText="1"/>
    </xf>
    <xf numFmtId="0" fontId="2" fillId="7" borderId="9" xfId="0" applyFont="1" applyFill="1" applyBorder="1"/>
    <xf numFmtId="0" fontId="11" fillId="0" borderId="1" xfId="0" applyFont="1" applyBorder="1" applyAlignment="1">
      <alignment wrapText="1"/>
    </xf>
    <xf numFmtId="44" fontId="11" fillId="0" borderId="0" xfId="1" applyFont="1" applyBorder="1" applyAlignment="1" applyProtection="1">
      <alignment wrapText="1"/>
    </xf>
    <xf numFmtId="0" fontId="11" fillId="0" borderId="0" xfId="0" applyFont="1" applyAlignment="1">
      <alignment wrapText="1"/>
    </xf>
    <xf numFmtId="0" fontId="11" fillId="0" borderId="0" xfId="0" applyFont="1"/>
    <xf numFmtId="0" fontId="11" fillId="4" borderId="9" xfId="0" applyFont="1" applyFill="1" applyBorder="1"/>
    <xf numFmtId="0" fontId="11" fillId="4" borderId="0" xfId="0" applyFont="1" applyFill="1"/>
    <xf numFmtId="0" fontId="10" fillId="0" borderId="0" xfId="0" applyFont="1"/>
    <xf numFmtId="0" fontId="12" fillId="0" borderId="1" xfId="0" applyFont="1" applyBorder="1" applyAlignment="1">
      <alignment wrapText="1"/>
    </xf>
    <xf numFmtId="44" fontId="12" fillId="0" borderId="0" xfId="1" applyFont="1" applyBorder="1" applyAlignment="1" applyProtection="1">
      <alignment wrapText="1"/>
    </xf>
    <xf numFmtId="0" fontId="12" fillId="0" borderId="0" xfId="0" applyFont="1" applyAlignment="1">
      <alignment wrapText="1"/>
    </xf>
    <xf numFmtId="0" fontId="12" fillId="0" borderId="0" xfId="0" applyFont="1"/>
    <xf numFmtId="0" fontId="12" fillId="4" borderId="9" xfId="0" applyFont="1" applyFill="1" applyBorder="1"/>
    <xf numFmtId="0" fontId="12" fillId="4" borderId="0" xfId="0" applyFont="1" applyFill="1"/>
    <xf numFmtId="44" fontId="17" fillId="3" borderId="2" xfId="0" applyNumberFormat="1" applyFont="1" applyFill="1" applyBorder="1"/>
    <xf numFmtId="44" fontId="17" fillId="3" borderId="2" xfId="1" applyFont="1" applyFill="1" applyBorder="1" applyProtection="1"/>
    <xf numFmtId="0" fontId="24" fillId="0" borderId="0" xfId="0" applyFont="1" applyAlignment="1">
      <alignment horizontal="left" vertical="top"/>
    </xf>
    <xf numFmtId="0" fontId="25" fillId="0" borderId="0" xfId="0" applyFont="1" applyAlignment="1">
      <alignment horizontal="left" vertical="top"/>
    </xf>
    <xf numFmtId="0" fontId="25" fillId="4" borderId="0" xfId="0" applyFont="1" applyFill="1" applyAlignment="1">
      <alignment horizontal="left" vertical="top"/>
    </xf>
    <xf numFmtId="0" fontId="26" fillId="0" borderId="0" xfId="0" applyFont="1" applyAlignment="1">
      <alignment horizontal="left" vertical="top"/>
    </xf>
    <xf numFmtId="0" fontId="26" fillId="4" borderId="0" xfId="0" applyFont="1" applyFill="1" applyAlignment="1">
      <alignment horizontal="left" vertical="top"/>
    </xf>
    <xf numFmtId="0" fontId="8" fillId="0" borderId="0" xfId="0" applyFont="1"/>
    <xf numFmtId="0" fontId="8" fillId="4" borderId="0" xfId="0" applyFont="1" applyFill="1"/>
    <xf numFmtId="0" fontId="16" fillId="0" borderId="19" xfId="0" applyFont="1" applyBorder="1" applyAlignment="1">
      <alignment wrapText="1"/>
    </xf>
    <xf numFmtId="0" fontId="23" fillId="0" borderId="16" xfId="0" applyFont="1" applyBorder="1" applyAlignment="1">
      <alignment horizontal="left" vertical="top" wrapText="1"/>
    </xf>
    <xf numFmtId="0" fontId="16" fillId="0" borderId="6" xfId="0" applyFont="1" applyBorder="1" applyAlignment="1">
      <alignment horizontal="left" vertical="top" wrapText="1"/>
    </xf>
    <xf numFmtId="0" fontId="16" fillId="0" borderId="19" xfId="0" applyFont="1" applyBorder="1" applyAlignment="1">
      <alignment horizontal="left" vertical="top" wrapText="1"/>
    </xf>
    <xf numFmtId="0" fontId="11" fillId="0" borderId="10" xfId="0" applyFont="1" applyBorder="1" applyAlignment="1">
      <alignment wrapText="1"/>
    </xf>
    <xf numFmtId="44" fontId="11" fillId="0" borderId="11" xfId="1" applyFont="1" applyBorder="1" applyAlignment="1" applyProtection="1">
      <alignment wrapText="1"/>
    </xf>
    <xf numFmtId="0" fontId="11" fillId="0" borderId="11" xfId="0" applyFont="1" applyBorder="1" applyAlignment="1">
      <alignment wrapText="1"/>
    </xf>
    <xf numFmtId="9" fontId="11" fillId="0" borderId="11" xfId="2" applyFont="1" applyBorder="1"/>
    <xf numFmtId="0" fontId="11" fillId="0" borderId="11" xfId="0" applyFont="1" applyBorder="1"/>
    <xf numFmtId="0" fontId="11" fillId="0" borderId="12" xfId="0" applyFont="1" applyBorder="1"/>
    <xf numFmtId="0" fontId="11" fillId="2" borderId="1" xfId="0" applyFont="1" applyFill="1" applyBorder="1" applyAlignment="1">
      <alignment wrapText="1"/>
    </xf>
    <xf numFmtId="44" fontId="11" fillId="2" borderId="0" xfId="1" applyFont="1" applyFill="1" applyBorder="1" applyAlignment="1" applyProtection="1">
      <alignment wrapText="1"/>
    </xf>
    <xf numFmtId="0" fontId="11" fillId="2" borderId="0" xfId="0" applyFont="1" applyFill="1" applyAlignment="1">
      <alignment wrapText="1"/>
    </xf>
    <xf numFmtId="0" fontId="11" fillId="2" borderId="0" xfId="0" applyFont="1" applyFill="1"/>
    <xf numFmtId="44" fontId="17" fillId="2" borderId="0" xfId="1" applyFont="1" applyFill="1" applyBorder="1" applyProtection="1"/>
    <xf numFmtId="0" fontId="10" fillId="2" borderId="0" xfId="0" applyFont="1" applyFill="1"/>
    <xf numFmtId="0" fontId="11" fillId="2" borderId="9" xfId="0" applyFont="1" applyFill="1" applyBorder="1"/>
    <xf numFmtId="0" fontId="9" fillId="0" borderId="1" xfId="0" applyFont="1" applyBorder="1" applyAlignment="1">
      <alignment wrapText="1"/>
    </xf>
    <xf numFmtId="164" fontId="9" fillId="0" borderId="0" xfId="2" applyNumberFormat="1" applyFont="1" applyFill="1" applyBorder="1" applyAlignment="1" applyProtection="1">
      <alignment wrapText="1"/>
    </xf>
    <xf numFmtId="44" fontId="9" fillId="0" borderId="0" xfId="1" applyFont="1" applyBorder="1" applyAlignment="1" applyProtection="1">
      <alignment wrapText="1"/>
    </xf>
    <xf numFmtId="9" fontId="9" fillId="6" borderId="2" xfId="2" applyFont="1" applyFill="1" applyBorder="1" applyProtection="1">
      <protection locked="0"/>
    </xf>
    <xf numFmtId="9" fontId="9" fillId="6" borderId="2" xfId="2" applyFont="1" applyFill="1" applyBorder="1" applyAlignment="1" applyProtection="1">
      <alignment wrapText="1"/>
      <protection locked="0"/>
    </xf>
    <xf numFmtId="10" fontId="9" fillId="0" borderId="0" xfId="2" applyNumberFormat="1" applyFont="1" applyBorder="1" applyProtection="1"/>
    <xf numFmtId="0" fontId="9" fillId="0" borderId="0" xfId="0" applyFont="1"/>
    <xf numFmtId="10" fontId="9" fillId="0" borderId="0" xfId="0" applyNumberFormat="1" applyFont="1"/>
    <xf numFmtId="0" fontId="9" fillId="4" borderId="9" xfId="0" applyFont="1" applyFill="1" applyBorder="1"/>
    <xf numFmtId="0" fontId="9" fillId="4" borderId="0" xfId="0" applyFont="1" applyFill="1"/>
    <xf numFmtId="37" fontId="9" fillId="6" borderId="2" xfId="1" applyNumberFormat="1" applyFont="1" applyFill="1" applyBorder="1" applyAlignment="1" applyProtection="1">
      <alignment wrapText="1"/>
      <protection locked="0"/>
    </xf>
    <xf numFmtId="0" fontId="9" fillId="0" borderId="6" xfId="0" applyFont="1" applyBorder="1"/>
    <xf numFmtId="0" fontId="9" fillId="0" borderId="7" xfId="0" applyFont="1" applyBorder="1" applyAlignment="1">
      <alignment wrapText="1"/>
    </xf>
    <xf numFmtId="0" fontId="9" fillId="0" borderId="8" xfId="0" applyFont="1" applyBorder="1"/>
    <xf numFmtId="0" fontId="6" fillId="0" borderId="0" xfId="0" applyFont="1" applyAlignment="1">
      <alignment wrapText="1"/>
    </xf>
    <xf numFmtId="1" fontId="9" fillId="0" borderId="1" xfId="0" applyNumberFormat="1" applyFont="1" applyBorder="1"/>
    <xf numFmtId="1" fontId="9" fillId="0" borderId="0" xfId="0" applyNumberFormat="1" applyFont="1"/>
    <xf numFmtId="1" fontId="9" fillId="0" borderId="9" xfId="0" applyNumberFormat="1" applyFont="1" applyBorder="1" applyProtection="1">
      <protection locked="0"/>
    </xf>
    <xf numFmtId="44" fontId="9" fillId="0" borderId="0" xfId="1" applyFont="1" applyBorder="1" applyProtection="1"/>
    <xf numFmtId="44" fontId="6" fillId="0" borderId="0" xfId="1" applyFont="1" applyBorder="1" applyProtection="1"/>
    <xf numFmtId="1" fontId="9" fillId="0" borderId="10" xfId="0" applyNumberFormat="1" applyFont="1" applyBorder="1"/>
    <xf numFmtId="1" fontId="9" fillId="0" borderId="11" xfId="0" applyNumberFormat="1" applyFont="1" applyBorder="1"/>
    <xf numFmtId="1" fontId="9" fillId="0" borderId="12" xfId="0" applyNumberFormat="1" applyFont="1" applyBorder="1" applyProtection="1">
      <protection locked="0"/>
    </xf>
    <xf numFmtId="0" fontId="6" fillId="0" borderId="1" xfId="0" applyFont="1" applyBorder="1" applyAlignment="1">
      <alignment wrapText="1"/>
    </xf>
    <xf numFmtId="10" fontId="9" fillId="6" borderId="2" xfId="2" applyNumberFormat="1" applyFont="1" applyFill="1" applyBorder="1" applyAlignment="1" applyProtection="1">
      <alignment wrapText="1"/>
      <protection locked="0"/>
    </xf>
    <xf numFmtId="0" fontId="9" fillId="0" borderId="8" xfId="0" applyFont="1" applyBorder="1" applyAlignment="1">
      <alignment wrapText="1"/>
    </xf>
    <xf numFmtId="1" fontId="9" fillId="0" borderId="9" xfId="0" applyNumberFormat="1" applyFont="1" applyBorder="1"/>
    <xf numFmtId="1" fontId="9" fillId="0" borderId="12" xfId="0" applyNumberFormat="1" applyFont="1" applyBorder="1"/>
    <xf numFmtId="1" fontId="9" fillId="6" borderId="3" xfId="0" applyNumberFormat="1" applyFont="1" applyFill="1" applyBorder="1" applyProtection="1">
      <protection locked="0"/>
    </xf>
    <xf numFmtId="1" fontId="9" fillId="6" borderId="4" xfId="0" applyNumberFormat="1" applyFont="1" applyFill="1" applyBorder="1" applyProtection="1">
      <protection locked="0"/>
    </xf>
    <xf numFmtId="1" fontId="9" fillId="6" borderId="5" xfId="0" applyNumberFormat="1" applyFont="1" applyFill="1" applyBorder="1" applyProtection="1">
      <protection locked="0"/>
    </xf>
    <xf numFmtId="164" fontId="9" fillId="6" borderId="2" xfId="2" applyNumberFormat="1" applyFont="1" applyFill="1" applyBorder="1" applyAlignment="1" applyProtection="1">
      <alignment wrapText="1"/>
      <protection locked="0"/>
    </xf>
    <xf numFmtId="39" fontId="9" fillId="0" borderId="0" xfId="1" applyNumberFormat="1" applyFont="1" applyBorder="1" applyAlignment="1" applyProtection="1">
      <alignment wrapText="1"/>
    </xf>
    <xf numFmtId="0" fontId="9" fillId="0" borderId="7" xfId="0" applyFont="1" applyBorder="1"/>
    <xf numFmtId="0" fontId="6" fillId="0" borderId="8" xfId="0" applyFont="1" applyBorder="1"/>
    <xf numFmtId="1" fontId="6" fillId="0" borderId="9" xfId="0" applyNumberFormat="1" applyFont="1" applyBorder="1"/>
    <xf numFmtId="0" fontId="6" fillId="0" borderId="9" xfId="0" applyFont="1" applyBorder="1"/>
    <xf numFmtId="1" fontId="6" fillId="4" borderId="12" xfId="0" applyNumberFormat="1" applyFont="1" applyFill="1" applyBorder="1"/>
    <xf numFmtId="0" fontId="9" fillId="0" borderId="9" xfId="0" applyFont="1" applyBorder="1" applyAlignment="1">
      <alignment wrapText="1"/>
    </xf>
    <xf numFmtId="44" fontId="9" fillId="6" borderId="6" xfId="1" applyFont="1" applyFill="1" applyBorder="1" applyAlignment="1" applyProtection="1">
      <alignment wrapText="1"/>
      <protection locked="0"/>
    </xf>
    <xf numFmtId="44" fontId="9" fillId="6" borderId="7" xfId="1" applyFont="1" applyFill="1" applyBorder="1" applyAlignment="1" applyProtection="1">
      <alignment wrapText="1"/>
      <protection locked="0"/>
    </xf>
    <xf numFmtId="0" fontId="9" fillId="6" borderId="7" xfId="0" applyFont="1" applyFill="1" applyBorder="1" applyAlignment="1" applyProtection="1">
      <alignment wrapText="1"/>
      <protection locked="0"/>
    </xf>
    <xf numFmtId="1" fontId="9" fillId="6" borderId="7" xfId="0" applyNumberFormat="1" applyFont="1" applyFill="1" applyBorder="1" applyProtection="1">
      <protection locked="0"/>
    </xf>
    <xf numFmtId="1" fontId="9" fillId="6" borderId="8" xfId="0" applyNumberFormat="1" applyFont="1" applyFill="1" applyBorder="1" applyProtection="1">
      <protection locked="0"/>
    </xf>
    <xf numFmtId="1" fontId="6" fillId="0" borderId="0" xfId="0" applyNumberFormat="1" applyFont="1"/>
    <xf numFmtId="44" fontId="9" fillId="0" borderId="9" xfId="1" applyFont="1" applyBorder="1" applyProtection="1"/>
    <xf numFmtId="44" fontId="9" fillId="6" borderId="1" xfId="1" applyFont="1" applyFill="1" applyBorder="1" applyAlignment="1" applyProtection="1">
      <alignment wrapText="1"/>
      <protection locked="0"/>
    </xf>
    <xf numFmtId="44" fontId="9" fillId="6" borderId="0" xfId="1" applyFont="1" applyFill="1" applyBorder="1" applyAlignment="1" applyProtection="1">
      <alignment wrapText="1"/>
      <protection locked="0"/>
    </xf>
    <xf numFmtId="0" fontId="9" fillId="6" borderId="0" xfId="0" applyFont="1" applyFill="1" applyAlignment="1" applyProtection="1">
      <alignment wrapText="1"/>
      <protection locked="0"/>
    </xf>
    <xf numFmtId="1" fontId="9" fillId="6" borderId="0" xfId="0" applyNumberFormat="1" applyFont="1" applyFill="1" applyProtection="1">
      <protection locked="0"/>
    </xf>
    <xf numFmtId="1" fontId="9" fillId="6" borderId="9" xfId="0" applyNumberFormat="1" applyFont="1" applyFill="1" applyBorder="1" applyProtection="1">
      <protection locked="0"/>
    </xf>
    <xf numFmtId="44" fontId="9" fillId="6" borderId="10" xfId="1" applyFont="1" applyFill="1" applyBorder="1" applyAlignment="1" applyProtection="1">
      <alignment wrapText="1"/>
      <protection locked="0"/>
    </xf>
    <xf numFmtId="44" fontId="9" fillId="6" borderId="11" xfId="1" applyFont="1" applyFill="1" applyBorder="1" applyAlignment="1" applyProtection="1">
      <alignment wrapText="1"/>
      <protection locked="0"/>
    </xf>
    <xf numFmtId="0" fontId="9" fillId="6" borderId="11" xfId="0" applyFont="1" applyFill="1" applyBorder="1" applyAlignment="1" applyProtection="1">
      <alignment wrapText="1"/>
      <protection locked="0"/>
    </xf>
    <xf numFmtId="1" fontId="9" fillId="6" borderId="11" xfId="0" applyNumberFormat="1" applyFont="1" applyFill="1" applyBorder="1" applyProtection="1">
      <protection locked="0"/>
    </xf>
    <xf numFmtId="1" fontId="9" fillId="6" borderId="12" xfId="0" applyNumberFormat="1" applyFont="1" applyFill="1" applyBorder="1" applyProtection="1">
      <protection locked="0"/>
    </xf>
    <xf numFmtId="44" fontId="6" fillId="0" borderId="0" xfId="1" applyFont="1" applyBorder="1" applyAlignment="1" applyProtection="1">
      <alignment wrapText="1"/>
    </xf>
    <xf numFmtId="44" fontId="6" fillId="0" borderId="9" xfId="1" applyFont="1" applyBorder="1" applyProtection="1"/>
    <xf numFmtId="0" fontId="6" fillId="4" borderId="9" xfId="0" applyFont="1" applyFill="1" applyBorder="1"/>
    <xf numFmtId="0" fontId="6" fillId="4" borderId="0" xfId="0" applyFont="1" applyFill="1"/>
    <xf numFmtId="0" fontId="6" fillId="0" borderId="0" xfId="0" applyFont="1"/>
    <xf numFmtId="0" fontId="9" fillId="5" borderId="1" xfId="0" applyFont="1" applyFill="1" applyBorder="1" applyAlignment="1">
      <alignment wrapText="1"/>
    </xf>
    <xf numFmtId="44" fontId="9" fillId="5" borderId="0" xfId="1" applyFont="1" applyFill="1" applyBorder="1" applyAlignment="1" applyProtection="1">
      <alignment wrapText="1"/>
    </xf>
    <xf numFmtId="0" fontId="9" fillId="5" borderId="0" xfId="0" applyFont="1" applyFill="1" applyAlignment="1">
      <alignment wrapText="1"/>
    </xf>
    <xf numFmtId="9" fontId="9" fillId="0" borderId="0" xfId="2" applyFont="1" applyBorder="1"/>
    <xf numFmtId="1" fontId="6" fillId="5" borderId="0" xfId="0" applyNumberFormat="1" applyFont="1" applyFill="1"/>
    <xf numFmtId="44" fontId="9" fillId="5" borderId="0" xfId="1" applyFont="1" applyFill="1" applyBorder="1" applyProtection="1"/>
    <xf numFmtId="44" fontId="6" fillId="5" borderId="0" xfId="1" applyFont="1" applyFill="1" applyBorder="1" applyProtection="1"/>
    <xf numFmtId="44" fontId="9" fillId="5" borderId="9" xfId="1" applyFont="1" applyFill="1" applyBorder="1" applyProtection="1"/>
    <xf numFmtId="0" fontId="9" fillId="5" borderId="0" xfId="0" applyFont="1" applyFill="1"/>
    <xf numFmtId="0" fontId="18" fillId="3" borderId="1" xfId="0" applyFont="1" applyFill="1" applyBorder="1" applyAlignment="1">
      <alignment wrapText="1"/>
    </xf>
    <xf numFmtId="0" fontId="21" fillId="3" borderId="0" xfId="0" applyFont="1" applyFill="1" applyAlignment="1">
      <alignment wrapText="1"/>
    </xf>
    <xf numFmtId="0" fontId="11" fillId="3" borderId="0" xfId="0" applyFont="1" applyFill="1" applyAlignment="1">
      <alignment wrapText="1"/>
    </xf>
    <xf numFmtId="0" fontId="15" fillId="3" borderId="6" xfId="0" applyFont="1" applyFill="1" applyBorder="1" applyAlignment="1">
      <alignment wrapText="1"/>
    </xf>
    <xf numFmtId="0" fontId="15" fillId="3" borderId="7" xfId="0" applyFont="1" applyFill="1" applyBorder="1" applyAlignment="1">
      <alignment wrapText="1"/>
    </xf>
    <xf numFmtId="0" fontId="15" fillId="3" borderId="8" xfId="0" applyFont="1" applyFill="1" applyBorder="1" applyAlignment="1">
      <alignment wrapText="1"/>
    </xf>
    <xf numFmtId="0" fontId="11" fillId="3" borderId="11" xfId="0" applyFont="1" applyFill="1" applyBorder="1" applyAlignment="1">
      <alignment wrapText="1"/>
    </xf>
    <xf numFmtId="0" fontId="17" fillId="3" borderId="1" xfId="0" applyFont="1" applyFill="1" applyBorder="1" applyAlignment="1">
      <alignment wrapText="1"/>
    </xf>
    <xf numFmtId="0" fontId="7" fillId="0" borderId="7" xfId="0" applyFont="1" applyBorder="1" applyAlignment="1">
      <alignment horizontal="center" vertical="center" wrapText="1"/>
    </xf>
    <xf numFmtId="0" fontId="13" fillId="6" borderId="7" xfId="0" applyFont="1" applyFill="1" applyBorder="1" applyAlignment="1" applyProtection="1">
      <alignment horizontal="left" vertical="top" wrapText="1"/>
      <protection locked="0"/>
    </xf>
    <xf numFmtId="0" fontId="16" fillId="3" borderId="1" xfId="0" applyFont="1" applyFill="1" applyBorder="1" applyAlignment="1">
      <alignment wrapText="1"/>
    </xf>
    <xf numFmtId="0" fontId="16" fillId="3" borderId="0" xfId="0" applyFont="1" applyFill="1" applyAlignment="1">
      <alignment wrapText="1"/>
    </xf>
    <xf numFmtId="0" fontId="17" fillId="3" borderId="13" xfId="0" applyFont="1" applyFill="1" applyBorder="1" applyAlignment="1">
      <alignment wrapText="1"/>
    </xf>
    <xf numFmtId="0" fontId="21" fillId="3" borderId="14" xfId="0" applyFont="1" applyFill="1" applyBorder="1" applyAlignment="1">
      <alignment wrapText="1"/>
    </xf>
    <xf numFmtId="0" fontId="8" fillId="7" borderId="1" xfId="0" applyFont="1" applyFill="1" applyBorder="1" applyAlignment="1">
      <alignment horizontal="center" wrapText="1"/>
    </xf>
    <xf numFmtId="0" fontId="8" fillId="7" borderId="0" xfId="0" applyFont="1" applyFill="1" applyAlignment="1">
      <alignment horizontal="center" wrapText="1"/>
    </xf>
    <xf numFmtId="0" fontId="16" fillId="0" borderId="19" xfId="0" applyFont="1" applyBorder="1" applyAlignment="1">
      <alignment horizontal="left" vertical="top" wrapText="1"/>
    </xf>
    <xf numFmtId="0" fontId="16" fillId="0" borderId="20" xfId="0" applyFont="1" applyBorder="1" applyAlignment="1">
      <alignment horizontal="left" vertical="top" wrapText="1"/>
    </xf>
    <xf numFmtId="0" fontId="16" fillId="0" borderId="21" xfId="0" applyFont="1" applyBorder="1" applyAlignment="1">
      <alignment horizontal="left" vertical="top" wrapText="1"/>
    </xf>
    <xf numFmtId="44" fontId="16" fillId="0" borderId="22" xfId="1" applyFont="1" applyBorder="1" applyAlignment="1" applyProtection="1">
      <alignment wrapText="1"/>
    </xf>
    <xf numFmtId="44" fontId="16" fillId="0" borderId="23" xfId="1" applyFont="1" applyBorder="1" applyAlignment="1" applyProtection="1">
      <alignment wrapText="1"/>
    </xf>
    <xf numFmtId="44" fontId="16" fillId="0" borderId="24" xfId="1" applyFont="1" applyBorder="1" applyAlignment="1" applyProtection="1">
      <alignment wrapText="1"/>
    </xf>
    <xf numFmtId="0" fontId="23" fillId="0" borderId="17" xfId="0" applyFont="1" applyBorder="1" applyAlignment="1">
      <alignment horizontal="left" vertical="top" wrapText="1"/>
    </xf>
    <xf numFmtId="0" fontId="23" fillId="0" borderId="18" xfId="0" applyFont="1" applyBorder="1" applyAlignment="1">
      <alignment horizontal="left" vertical="top" wrapText="1"/>
    </xf>
  </cellXfs>
  <cellStyles count="3">
    <cellStyle name="Currency" xfId="1" builtinId="4"/>
    <cellStyle name="Normal" xfId="0" builtinId="0"/>
    <cellStyle name="Percent" xfId="2" builtinId="5"/>
  </cellStyles>
  <dxfs count="0"/>
  <tableStyles count="0" defaultTableStyle="TableStyleMedium2" defaultPivotStyle="PivotStyleLight16"/>
  <colors>
    <mruColors>
      <color rgb="FF918E0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1</xdr:col>
      <xdr:colOff>175999</xdr:colOff>
      <xdr:row>0</xdr:row>
      <xdr:rowOff>0</xdr:rowOff>
    </xdr:from>
    <xdr:to>
      <xdr:col>1</xdr:col>
      <xdr:colOff>3677708</xdr:colOff>
      <xdr:row>0</xdr:row>
      <xdr:rowOff>2751667</xdr:rowOff>
    </xdr:to>
    <xdr:pic>
      <xdr:nvPicPr>
        <xdr:cNvPr id="3" name="Picture 2">
          <a:extLst>
            <a:ext uri="{FF2B5EF4-FFF2-40B4-BE49-F238E27FC236}">
              <a16:creationId xmlns:a16="http://schemas.microsoft.com/office/drawing/2014/main" id="{3577CBC9-7CE3-4030-8F2F-401EDD36E2D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84541" y="0"/>
          <a:ext cx="3501709" cy="2751667"/>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51A898-2E97-4400-8A18-270849EF24BE}">
  <sheetPr>
    <pageSetUpPr fitToPage="1"/>
  </sheetPr>
  <dimension ref="B1:AO54"/>
  <sheetViews>
    <sheetView tabSelected="1" zoomScale="36" zoomScaleNormal="36" zoomScaleSheetLayoutView="37" workbookViewId="0">
      <selection activeCell="L1" sqref="L1:O1"/>
    </sheetView>
  </sheetViews>
  <sheetFormatPr defaultRowHeight="18.75" x14ac:dyDescent="0.3"/>
  <cols>
    <col min="1" max="1" width="9.140625" style="3"/>
    <col min="2" max="2" width="56.140625" style="1" customWidth="1"/>
    <col min="3" max="3" width="96.7109375" style="2" customWidth="1"/>
    <col min="4" max="4" width="33.5703125" style="2" customWidth="1"/>
    <col min="5" max="5" width="22.140625" style="1" customWidth="1"/>
    <col min="6" max="6" width="39" style="3" customWidth="1"/>
    <col min="7" max="7" width="27.140625" style="3" customWidth="1"/>
    <col min="8" max="8" width="34.7109375" style="3" customWidth="1"/>
    <col min="9" max="9" width="30.28515625" style="3" customWidth="1"/>
    <col min="10" max="10" width="50.5703125" style="3" customWidth="1"/>
    <col min="11" max="13" width="39" style="3" customWidth="1"/>
    <col min="14" max="14" width="66" style="3" customWidth="1"/>
    <col min="15" max="15" width="28.28515625" style="3" customWidth="1"/>
    <col min="16" max="41" width="9.140625" style="4"/>
    <col min="42" max="16384" width="9.140625" style="3"/>
  </cols>
  <sheetData>
    <row r="1" spans="2:41" ht="221.25" customHeight="1" x14ac:dyDescent="0.4">
      <c r="B1" s="12" t="s">
        <v>3</v>
      </c>
      <c r="C1" s="143" t="s">
        <v>60</v>
      </c>
      <c r="D1" s="143"/>
      <c r="E1" s="143"/>
      <c r="F1" s="143"/>
      <c r="G1" s="143"/>
      <c r="H1" s="143"/>
      <c r="I1" s="143"/>
      <c r="J1" s="143"/>
      <c r="K1" s="143"/>
      <c r="L1" s="144" t="s">
        <v>41</v>
      </c>
      <c r="M1" s="144"/>
      <c r="N1" s="144"/>
      <c r="O1" s="144"/>
      <c r="P1" s="13"/>
    </row>
    <row r="2" spans="2:41" s="9" customFormat="1" ht="149.25" customHeight="1" thickBot="1" x14ac:dyDescent="0.75">
      <c r="B2" s="145" t="s">
        <v>62</v>
      </c>
      <c r="C2" s="146"/>
      <c r="D2" s="146"/>
      <c r="E2" s="146"/>
      <c r="F2" s="146"/>
      <c r="G2" s="146"/>
      <c r="H2" s="146"/>
      <c r="I2" s="146"/>
      <c r="J2" s="146"/>
      <c r="K2" s="146"/>
      <c r="L2" s="146"/>
      <c r="M2" s="146"/>
      <c r="N2" s="146"/>
      <c r="O2" s="146"/>
      <c r="P2" s="14"/>
      <c r="Q2" s="8"/>
      <c r="R2" s="8"/>
      <c r="S2" s="8"/>
      <c r="T2" s="8"/>
      <c r="U2" s="8"/>
      <c r="V2" s="8"/>
      <c r="W2" s="8"/>
      <c r="X2" s="8"/>
      <c r="Y2" s="8"/>
      <c r="Z2" s="8"/>
      <c r="AA2" s="8"/>
      <c r="AB2" s="8"/>
      <c r="AC2" s="8"/>
      <c r="AD2" s="8"/>
      <c r="AE2" s="8"/>
      <c r="AF2" s="8"/>
      <c r="AG2" s="8"/>
      <c r="AH2" s="8"/>
      <c r="AI2" s="8"/>
      <c r="AJ2" s="8"/>
      <c r="AK2" s="8"/>
      <c r="AL2" s="8"/>
      <c r="AM2" s="8"/>
      <c r="AN2" s="8"/>
      <c r="AO2" s="8"/>
    </row>
    <row r="3" spans="2:41" s="9" customFormat="1" ht="61.5" customHeight="1" x14ac:dyDescent="0.7">
      <c r="B3" s="138" t="s">
        <v>61</v>
      </c>
      <c r="C3" s="139"/>
      <c r="D3" s="139"/>
      <c r="E3" s="139"/>
      <c r="F3" s="139"/>
      <c r="G3" s="139"/>
      <c r="H3" s="139"/>
      <c r="I3" s="139"/>
      <c r="J3" s="139"/>
      <c r="K3" s="139"/>
      <c r="L3" s="139"/>
      <c r="M3" s="139"/>
      <c r="N3" s="139"/>
      <c r="O3" s="140"/>
      <c r="P3" s="14"/>
      <c r="Q3" s="8"/>
      <c r="R3" s="8"/>
      <c r="S3" s="8"/>
      <c r="T3" s="8"/>
      <c r="U3" s="8"/>
      <c r="V3" s="8"/>
      <c r="W3" s="8"/>
      <c r="X3" s="8"/>
      <c r="Y3" s="8"/>
      <c r="Z3" s="8"/>
      <c r="AA3" s="8"/>
      <c r="AB3" s="8"/>
      <c r="AC3" s="8"/>
      <c r="AD3" s="8"/>
      <c r="AE3" s="8"/>
      <c r="AF3" s="8"/>
      <c r="AG3" s="8"/>
      <c r="AH3" s="8"/>
      <c r="AI3" s="8"/>
      <c r="AJ3" s="8"/>
      <c r="AK3" s="8"/>
      <c r="AL3" s="8"/>
      <c r="AM3" s="8"/>
      <c r="AN3" s="8"/>
      <c r="AO3" s="8"/>
    </row>
    <row r="4" spans="2:41" s="9" customFormat="1" ht="123" customHeight="1" thickBot="1" x14ac:dyDescent="0.55000000000000004">
      <c r="B4" s="65"/>
      <c r="C4" s="67" t="s">
        <v>31</v>
      </c>
      <c r="D4" s="67" t="s">
        <v>21</v>
      </c>
      <c r="E4" s="9" t="s">
        <v>22</v>
      </c>
      <c r="F4" s="9" t="s">
        <v>18</v>
      </c>
      <c r="G4" s="9" t="s">
        <v>19</v>
      </c>
      <c r="H4" s="9" t="s">
        <v>20</v>
      </c>
      <c r="I4" s="79" t="s">
        <v>7</v>
      </c>
      <c r="K4" s="9" t="s">
        <v>0</v>
      </c>
      <c r="L4" s="9" t="s">
        <v>1</v>
      </c>
      <c r="M4" s="9" t="s">
        <v>2</v>
      </c>
      <c r="N4" s="79" t="s">
        <v>8</v>
      </c>
      <c r="O4" s="103" t="s">
        <v>17</v>
      </c>
      <c r="P4" s="14"/>
      <c r="Q4" s="8"/>
      <c r="R4" s="8"/>
      <c r="S4" s="8"/>
      <c r="T4" s="8"/>
      <c r="U4" s="8"/>
      <c r="V4" s="8"/>
      <c r="W4" s="8"/>
      <c r="X4" s="8"/>
      <c r="Y4" s="8"/>
      <c r="Z4" s="8"/>
      <c r="AA4" s="8"/>
      <c r="AB4" s="8"/>
      <c r="AC4" s="8"/>
      <c r="AD4" s="8"/>
      <c r="AE4" s="8"/>
      <c r="AF4" s="8"/>
      <c r="AG4" s="8"/>
      <c r="AH4" s="8"/>
      <c r="AI4" s="8"/>
      <c r="AJ4" s="8"/>
      <c r="AK4" s="8"/>
      <c r="AL4" s="8"/>
      <c r="AM4" s="8"/>
      <c r="AN4" s="8"/>
      <c r="AO4" s="8"/>
    </row>
    <row r="5" spans="2:41" s="71" customFormat="1" ht="69.75" customHeight="1" x14ac:dyDescent="0.5">
      <c r="B5" s="65" t="s">
        <v>4</v>
      </c>
      <c r="C5" s="104">
        <v>1.5</v>
      </c>
      <c r="D5" s="105">
        <v>2.73</v>
      </c>
      <c r="E5" s="106">
        <v>0.38</v>
      </c>
      <c r="F5" s="107">
        <f>39738/98*172</f>
        <v>69744.244897959186</v>
      </c>
      <c r="G5" s="107">
        <f>61.7959183673469*172</f>
        <v>10628.897959183667</v>
      </c>
      <c r="H5" s="108">
        <f>106.744897959184*172</f>
        <v>18360.122448979648</v>
      </c>
      <c r="I5" s="109">
        <f>+F5+G5+H5</f>
        <v>98733.265306122499</v>
      </c>
      <c r="J5" s="9" t="s">
        <v>4</v>
      </c>
      <c r="K5" s="83">
        <f>+F5*$D5</f>
        <v>190401.78857142857</v>
      </c>
      <c r="L5" s="83">
        <f>+G5*$D5</f>
        <v>29016.891428571409</v>
      </c>
      <c r="M5" s="83">
        <f>+H5*($E5+$C5)</f>
        <v>34517.030204081733</v>
      </c>
      <c r="N5" s="84">
        <f>SUM(K5:M5)</f>
        <v>253935.7102040817</v>
      </c>
      <c r="O5" s="110"/>
      <c r="P5" s="73"/>
      <c r="Q5" s="74"/>
      <c r="R5" s="74"/>
      <c r="S5" s="74"/>
      <c r="T5" s="74"/>
      <c r="U5" s="74"/>
      <c r="V5" s="74"/>
      <c r="W5" s="74"/>
      <c r="X5" s="74"/>
      <c r="Y5" s="74"/>
      <c r="Z5" s="74"/>
      <c r="AA5" s="74"/>
      <c r="AB5" s="74"/>
      <c r="AC5" s="74"/>
      <c r="AD5" s="74"/>
      <c r="AE5" s="74"/>
      <c r="AF5" s="74"/>
      <c r="AG5" s="74"/>
      <c r="AH5" s="74"/>
      <c r="AI5" s="74"/>
      <c r="AJ5" s="74"/>
      <c r="AK5" s="74"/>
      <c r="AL5" s="74"/>
      <c r="AM5" s="74"/>
      <c r="AN5" s="74"/>
      <c r="AO5" s="74"/>
    </row>
    <row r="6" spans="2:41" s="71" customFormat="1" ht="86.25" customHeight="1" x14ac:dyDescent="0.5">
      <c r="B6" s="65" t="s">
        <v>13</v>
      </c>
      <c r="C6" s="111">
        <v>1.5</v>
      </c>
      <c r="D6" s="112">
        <v>2.73</v>
      </c>
      <c r="E6" s="113">
        <v>0.38</v>
      </c>
      <c r="F6" s="114">
        <v>0</v>
      </c>
      <c r="G6" s="114">
        <v>0</v>
      </c>
      <c r="H6" s="115">
        <v>0</v>
      </c>
      <c r="I6" s="109">
        <f t="shared" ref="I6:I7" si="0">+F6+G6+H6</f>
        <v>0</v>
      </c>
      <c r="J6" s="9" t="s">
        <v>13</v>
      </c>
      <c r="K6" s="83">
        <f t="shared" ref="K6:K7" si="1">+F6*$D6</f>
        <v>0</v>
      </c>
      <c r="L6" s="83">
        <f t="shared" ref="L6:L7" si="2">+G6*$D6</f>
        <v>0</v>
      </c>
      <c r="M6" s="83">
        <f t="shared" ref="M6:M7" si="3">+H6*($E6+$C6)</f>
        <v>0</v>
      </c>
      <c r="N6" s="84">
        <f t="shared" ref="N6:N12" si="4">SUM(K6:M6)</f>
        <v>0</v>
      </c>
      <c r="O6" s="110" t="s">
        <v>3</v>
      </c>
      <c r="P6" s="73"/>
      <c r="Q6" s="74"/>
      <c r="R6" s="74"/>
      <c r="S6" s="74"/>
      <c r="T6" s="74"/>
      <c r="U6" s="74"/>
      <c r="V6" s="74"/>
      <c r="W6" s="74"/>
      <c r="X6" s="74"/>
      <c r="Y6" s="74"/>
      <c r="Z6" s="74"/>
      <c r="AA6" s="74"/>
      <c r="AB6" s="74"/>
      <c r="AC6" s="74"/>
      <c r="AD6" s="74"/>
      <c r="AE6" s="74"/>
      <c r="AF6" s="74"/>
      <c r="AG6" s="74"/>
      <c r="AH6" s="74"/>
      <c r="AI6" s="74"/>
      <c r="AJ6" s="74"/>
      <c r="AK6" s="74"/>
      <c r="AL6" s="74"/>
      <c r="AM6" s="74"/>
      <c r="AN6" s="74"/>
      <c r="AO6" s="74"/>
    </row>
    <row r="7" spans="2:41" s="71" customFormat="1" ht="87.75" customHeight="1" thickBot="1" x14ac:dyDescent="0.55000000000000004">
      <c r="B7" s="65" t="s">
        <v>14</v>
      </c>
      <c r="C7" s="116">
        <v>1.5</v>
      </c>
      <c r="D7" s="117">
        <v>2.73</v>
      </c>
      <c r="E7" s="118">
        <v>0.38</v>
      </c>
      <c r="F7" s="119">
        <v>0</v>
      </c>
      <c r="G7" s="119">
        <v>0</v>
      </c>
      <c r="H7" s="120">
        <v>0</v>
      </c>
      <c r="I7" s="109">
        <f t="shared" si="0"/>
        <v>0</v>
      </c>
      <c r="J7" s="9" t="s">
        <v>14</v>
      </c>
      <c r="K7" s="83">
        <f t="shared" si="1"/>
        <v>0</v>
      </c>
      <c r="L7" s="83">
        <f t="shared" si="2"/>
        <v>0</v>
      </c>
      <c r="M7" s="83">
        <f t="shared" si="3"/>
        <v>0</v>
      </c>
      <c r="N7" s="84">
        <f t="shared" si="4"/>
        <v>0</v>
      </c>
      <c r="O7" s="110"/>
      <c r="P7" s="73"/>
      <c r="Q7" s="74"/>
      <c r="R7" s="74"/>
      <c r="S7" s="74"/>
      <c r="T7" s="74"/>
      <c r="U7" s="74"/>
      <c r="V7" s="74"/>
      <c r="W7" s="74"/>
      <c r="X7" s="74"/>
      <c r="Y7" s="74"/>
      <c r="Z7" s="74"/>
      <c r="AA7" s="74"/>
      <c r="AB7" s="74"/>
      <c r="AC7" s="74"/>
      <c r="AD7" s="74"/>
      <c r="AE7" s="74"/>
      <c r="AF7" s="74"/>
      <c r="AG7" s="74"/>
      <c r="AH7" s="74"/>
      <c r="AI7" s="74"/>
      <c r="AJ7" s="74"/>
      <c r="AK7" s="74"/>
      <c r="AL7" s="74"/>
      <c r="AM7" s="74"/>
      <c r="AN7" s="74"/>
      <c r="AO7" s="74"/>
    </row>
    <row r="8" spans="2:41" s="125" customFormat="1" ht="60" customHeight="1" x14ac:dyDescent="0.5">
      <c r="B8" s="88"/>
      <c r="C8" s="121"/>
      <c r="D8" s="121"/>
      <c r="E8" s="79"/>
      <c r="F8" s="109">
        <f>+F7+F6+F5</f>
        <v>69744.244897959186</v>
      </c>
      <c r="G8" s="109">
        <f t="shared" ref="G8:H8" si="5">+G7+G6+G5</f>
        <v>10628.897959183667</v>
      </c>
      <c r="H8" s="109">
        <f t="shared" si="5"/>
        <v>18360.122448979648</v>
      </c>
      <c r="I8" s="109">
        <f>+H8+G8+F8</f>
        <v>98733.265306122499</v>
      </c>
      <c r="J8" s="79"/>
      <c r="K8" s="84">
        <f>+K7+K6+K5</f>
        <v>190401.78857142857</v>
      </c>
      <c r="L8" s="84">
        <f t="shared" ref="L8" si="6">+L7+L6+L5</f>
        <v>29016.891428571409</v>
      </c>
      <c r="M8" s="84">
        <f t="shared" ref="M8" si="7">+M7+M6+M5</f>
        <v>34517.030204081733</v>
      </c>
      <c r="N8" s="84">
        <f>+M8+L8+K8</f>
        <v>253935.71020408173</v>
      </c>
      <c r="O8" s="122">
        <f>+N8/I8</f>
        <v>2.5719367167362899</v>
      </c>
      <c r="P8" s="123"/>
      <c r="Q8" s="124"/>
      <c r="R8" s="124"/>
      <c r="S8" s="124"/>
      <c r="T8" s="124"/>
      <c r="U8" s="124"/>
      <c r="V8" s="124"/>
      <c r="W8" s="124"/>
      <c r="X8" s="124"/>
      <c r="Y8" s="124"/>
      <c r="Z8" s="124"/>
      <c r="AA8" s="124"/>
      <c r="AB8" s="124"/>
      <c r="AC8" s="124"/>
      <c r="AD8" s="124"/>
      <c r="AE8" s="124"/>
      <c r="AF8" s="124"/>
      <c r="AG8" s="124"/>
      <c r="AH8" s="124"/>
      <c r="AI8" s="124"/>
      <c r="AJ8" s="124"/>
      <c r="AK8" s="124"/>
      <c r="AL8" s="124"/>
      <c r="AM8" s="124"/>
      <c r="AN8" s="124"/>
      <c r="AO8" s="124"/>
    </row>
    <row r="9" spans="2:41" s="134" customFormat="1" ht="60" customHeight="1" thickBot="1" x14ac:dyDescent="0.55000000000000004">
      <c r="B9" s="126"/>
      <c r="C9" s="127"/>
      <c r="D9" s="127"/>
      <c r="E9" s="128"/>
      <c r="F9" s="129">
        <f>+F8/I8</f>
        <v>0.70639054306283855</v>
      </c>
      <c r="G9" s="129">
        <f>+G8/I8</f>
        <v>0.10765265309750233</v>
      </c>
      <c r="H9" s="129">
        <f>+H8/I8</f>
        <v>0.18595680383965918</v>
      </c>
      <c r="I9" s="130"/>
      <c r="J9" s="128"/>
      <c r="K9" s="131"/>
      <c r="L9" s="131"/>
      <c r="M9" s="131"/>
      <c r="N9" s="132"/>
      <c r="O9" s="133"/>
      <c r="P9" s="73"/>
      <c r="Q9" s="74"/>
      <c r="R9" s="74"/>
      <c r="S9" s="74"/>
      <c r="T9" s="74"/>
      <c r="U9" s="74"/>
      <c r="V9" s="74"/>
      <c r="W9" s="74"/>
      <c r="X9" s="74"/>
      <c r="Y9" s="74"/>
      <c r="Z9" s="74"/>
      <c r="AA9" s="74"/>
      <c r="AB9" s="74"/>
      <c r="AC9" s="74"/>
      <c r="AD9" s="74"/>
      <c r="AE9" s="74"/>
      <c r="AF9" s="74"/>
      <c r="AG9" s="74"/>
      <c r="AH9" s="74"/>
      <c r="AI9" s="74"/>
      <c r="AJ9" s="74"/>
      <c r="AK9" s="74"/>
      <c r="AL9" s="74"/>
      <c r="AM9" s="74"/>
      <c r="AN9" s="74"/>
      <c r="AO9" s="74"/>
    </row>
    <row r="10" spans="2:41" s="71" customFormat="1" ht="60" customHeight="1" x14ac:dyDescent="0.5">
      <c r="B10" s="65" t="s">
        <v>5</v>
      </c>
      <c r="C10" s="104">
        <v>2.75</v>
      </c>
      <c r="D10" s="105">
        <v>4.3499999999999996</v>
      </c>
      <c r="E10" s="106">
        <v>0.5</v>
      </c>
      <c r="F10" s="107">
        <f>65912/98*172</f>
        <v>115682.28571428571</v>
      </c>
      <c r="G10" s="107">
        <f>115.69387755102*172</f>
        <v>19899.346938775438</v>
      </c>
      <c r="H10" s="108">
        <v>17510</v>
      </c>
      <c r="I10" s="109">
        <f>+F10+G10+H10</f>
        <v>153091.63265306115</v>
      </c>
      <c r="J10" s="9" t="s">
        <v>5</v>
      </c>
      <c r="K10" s="83">
        <f t="shared" ref="K10:K12" si="8">+F10*$D10</f>
        <v>503217.94285714277</v>
      </c>
      <c r="L10" s="83">
        <f t="shared" ref="L10:L12" si="9">+G10*$D10</f>
        <v>86562.159183673153</v>
      </c>
      <c r="M10" s="83">
        <f t="shared" ref="M10:M12" si="10">+H10*($E10+$C10)</f>
        <v>56907.5</v>
      </c>
      <c r="N10" s="84">
        <f t="shared" si="4"/>
        <v>646687.60204081587</v>
      </c>
      <c r="O10" s="110"/>
      <c r="P10" s="73"/>
      <c r="Q10" s="74"/>
      <c r="R10" s="74"/>
      <c r="S10" s="74"/>
      <c r="T10" s="74"/>
      <c r="U10" s="74"/>
      <c r="V10" s="74"/>
      <c r="W10" s="74"/>
      <c r="X10" s="74"/>
      <c r="Y10" s="74"/>
      <c r="Z10" s="74"/>
      <c r="AA10" s="74"/>
      <c r="AB10" s="74"/>
      <c r="AC10" s="74"/>
      <c r="AD10" s="74"/>
      <c r="AE10" s="74"/>
      <c r="AF10" s="74"/>
      <c r="AG10" s="74"/>
      <c r="AH10" s="74"/>
      <c r="AI10" s="74"/>
      <c r="AJ10" s="74"/>
      <c r="AK10" s="74"/>
      <c r="AL10" s="74"/>
      <c r="AM10" s="74"/>
      <c r="AN10" s="74"/>
      <c r="AO10" s="74"/>
    </row>
    <row r="11" spans="2:41" s="71" customFormat="1" ht="60" customHeight="1" x14ac:dyDescent="0.5">
      <c r="B11" s="65" t="s">
        <v>15</v>
      </c>
      <c r="C11" s="111">
        <v>3</v>
      </c>
      <c r="D11" s="112">
        <v>4.3499999999999996</v>
      </c>
      <c r="E11" s="113">
        <v>0.5</v>
      </c>
      <c r="F11" s="114">
        <v>0</v>
      </c>
      <c r="G11" s="114">
        <v>0</v>
      </c>
      <c r="H11" s="115">
        <v>0</v>
      </c>
      <c r="I11" s="109">
        <f t="shared" ref="I11:I13" si="11">+F11+G11+H11</f>
        <v>0</v>
      </c>
      <c r="J11" s="9" t="s">
        <v>15</v>
      </c>
      <c r="K11" s="83">
        <f t="shared" si="8"/>
        <v>0</v>
      </c>
      <c r="L11" s="83">
        <f t="shared" si="9"/>
        <v>0</v>
      </c>
      <c r="M11" s="83">
        <f t="shared" si="10"/>
        <v>0</v>
      </c>
      <c r="N11" s="84">
        <f t="shared" si="4"/>
        <v>0</v>
      </c>
      <c r="O11" s="110"/>
      <c r="P11" s="73"/>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row>
    <row r="12" spans="2:41" s="71" customFormat="1" ht="60" customHeight="1" thickBot="1" x14ac:dyDescent="0.55000000000000004">
      <c r="B12" s="65" t="s">
        <v>16</v>
      </c>
      <c r="C12" s="116">
        <v>3</v>
      </c>
      <c r="D12" s="117">
        <v>4.3499999999999996</v>
      </c>
      <c r="E12" s="118">
        <v>0.5</v>
      </c>
      <c r="F12" s="119">
        <v>10000</v>
      </c>
      <c r="G12" s="119">
        <v>20000</v>
      </c>
      <c r="H12" s="120">
        <v>20000</v>
      </c>
      <c r="I12" s="109">
        <f t="shared" si="11"/>
        <v>50000</v>
      </c>
      <c r="J12" s="9" t="s">
        <v>16</v>
      </c>
      <c r="K12" s="83">
        <f t="shared" si="8"/>
        <v>43500</v>
      </c>
      <c r="L12" s="83">
        <f t="shared" si="9"/>
        <v>87000</v>
      </c>
      <c r="M12" s="83">
        <f t="shared" si="10"/>
        <v>70000</v>
      </c>
      <c r="N12" s="84">
        <f t="shared" si="4"/>
        <v>200500</v>
      </c>
      <c r="O12" s="110"/>
      <c r="P12" s="73"/>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row>
    <row r="13" spans="2:41" s="125" customFormat="1" ht="60" customHeight="1" thickBot="1" x14ac:dyDescent="0.55000000000000004">
      <c r="B13" s="88"/>
      <c r="C13" s="121"/>
      <c r="D13" s="121"/>
      <c r="E13" s="79"/>
      <c r="F13" s="109">
        <f>+F12+F11+F10</f>
        <v>125682.28571428571</v>
      </c>
      <c r="G13" s="109">
        <f>+G12+G11+G10</f>
        <v>39899.346938775438</v>
      </c>
      <c r="H13" s="109">
        <f>+H12+H11+H10</f>
        <v>37510</v>
      </c>
      <c r="I13" s="109">
        <f t="shared" si="11"/>
        <v>203091.63265306115</v>
      </c>
      <c r="K13" s="84"/>
      <c r="L13" s="84"/>
      <c r="M13" s="84"/>
      <c r="N13" s="84">
        <f>+N12+N11+N10</f>
        <v>847187.60204081587</v>
      </c>
      <c r="O13" s="122">
        <f>+N13/I13</f>
        <v>4.1714549780987564</v>
      </c>
      <c r="P13" s="123"/>
      <c r="Q13" s="124"/>
      <c r="R13" s="124"/>
      <c r="S13" s="124"/>
      <c r="T13" s="124"/>
      <c r="U13" s="124"/>
      <c r="V13" s="124"/>
      <c r="W13" s="124"/>
      <c r="X13" s="124"/>
      <c r="Y13" s="124"/>
      <c r="Z13" s="124"/>
      <c r="AA13" s="124"/>
      <c r="AB13" s="124"/>
      <c r="AC13" s="124"/>
      <c r="AD13" s="124"/>
      <c r="AE13" s="124"/>
      <c r="AF13" s="124"/>
      <c r="AG13" s="124"/>
      <c r="AH13" s="124"/>
      <c r="AI13" s="124"/>
      <c r="AJ13" s="124"/>
      <c r="AK13" s="124"/>
      <c r="AL13" s="124"/>
      <c r="AM13" s="124"/>
      <c r="AN13" s="124"/>
      <c r="AO13" s="124"/>
    </row>
    <row r="14" spans="2:41" s="29" customFormat="1" ht="60" customHeight="1" thickBot="1" x14ac:dyDescent="0.95">
      <c r="B14" s="52"/>
      <c r="C14" s="53" t="s">
        <v>3</v>
      </c>
      <c r="D14" s="53"/>
      <c r="E14" s="54"/>
      <c r="F14" s="55">
        <f>+F13/I13</f>
        <v>0.61884521815326166</v>
      </c>
      <c r="G14" s="55">
        <f>+G13/I13</f>
        <v>0.19645982661892814</v>
      </c>
      <c r="H14" s="55">
        <f>+H13/I13</f>
        <v>0.18469495522781018</v>
      </c>
      <c r="I14" s="56"/>
      <c r="J14" s="141" t="s">
        <v>11</v>
      </c>
      <c r="K14" s="141"/>
      <c r="L14" s="141"/>
      <c r="M14" s="141"/>
      <c r="N14" s="39">
        <f>+N13+N8</f>
        <v>1101123.3122448977</v>
      </c>
      <c r="O14" s="57"/>
      <c r="P14" s="30"/>
      <c r="Q14" s="31"/>
      <c r="R14" s="31"/>
      <c r="S14" s="31"/>
      <c r="T14" s="31"/>
      <c r="U14" s="31"/>
      <c r="V14" s="31"/>
      <c r="W14" s="31"/>
      <c r="X14" s="31"/>
      <c r="Y14" s="31"/>
      <c r="Z14" s="31"/>
      <c r="AA14" s="31"/>
      <c r="AB14" s="31"/>
      <c r="AC14" s="31"/>
      <c r="AD14" s="31"/>
      <c r="AE14" s="31"/>
      <c r="AF14" s="31"/>
      <c r="AG14" s="31"/>
      <c r="AH14" s="31"/>
      <c r="AI14" s="31"/>
      <c r="AJ14" s="31"/>
      <c r="AK14" s="31"/>
      <c r="AL14" s="31"/>
      <c r="AM14" s="31"/>
      <c r="AN14" s="31"/>
      <c r="AO14" s="31"/>
    </row>
    <row r="15" spans="2:41" ht="16.5" customHeight="1" x14ac:dyDescent="0.3">
      <c r="B15" s="16"/>
      <c r="C15" s="17"/>
      <c r="D15" s="17"/>
      <c r="E15" s="18"/>
      <c r="F15" s="5"/>
      <c r="G15" s="5"/>
      <c r="H15" s="5"/>
      <c r="I15" s="5"/>
      <c r="J15" s="5"/>
      <c r="K15" s="5"/>
      <c r="L15" s="5"/>
      <c r="M15" s="5"/>
      <c r="N15" s="5"/>
      <c r="O15" s="5"/>
      <c r="P15" s="19"/>
    </row>
    <row r="16" spans="2:41" s="7" customFormat="1" ht="63.75" customHeight="1" thickBot="1" x14ac:dyDescent="0.95">
      <c r="B16" s="135" t="s">
        <v>44</v>
      </c>
      <c r="C16" s="136"/>
      <c r="D16" s="136"/>
      <c r="E16" s="136"/>
      <c r="F16" s="136"/>
      <c r="G16" s="136"/>
      <c r="H16" s="136"/>
      <c r="I16" s="136"/>
      <c r="J16" s="136"/>
      <c r="K16" s="136"/>
      <c r="L16" s="136"/>
      <c r="M16" s="136"/>
      <c r="N16" s="136"/>
      <c r="O16" s="136"/>
      <c r="P16" s="15"/>
      <c r="Q16" s="6"/>
      <c r="R16" s="6"/>
      <c r="S16" s="6"/>
      <c r="T16" s="6"/>
      <c r="U16" s="6"/>
      <c r="V16" s="6"/>
      <c r="W16" s="6"/>
      <c r="X16" s="6"/>
      <c r="Y16" s="6"/>
      <c r="Z16" s="6"/>
      <c r="AA16" s="6"/>
      <c r="AB16" s="6"/>
      <c r="AC16" s="6"/>
      <c r="AD16" s="6"/>
      <c r="AE16" s="6"/>
      <c r="AF16" s="6"/>
      <c r="AG16" s="6"/>
      <c r="AH16" s="6"/>
      <c r="AI16" s="6"/>
      <c r="AJ16" s="6"/>
      <c r="AK16" s="6"/>
      <c r="AL16" s="6"/>
      <c r="AM16" s="6"/>
      <c r="AN16" s="6"/>
      <c r="AO16" s="6"/>
    </row>
    <row r="17" spans="2:41" s="71" customFormat="1" ht="127.5" customHeight="1" thickBot="1" x14ac:dyDescent="0.55000000000000004">
      <c r="B17" s="65" t="s">
        <v>23</v>
      </c>
      <c r="C17" s="96">
        <v>0.43</v>
      </c>
      <c r="D17" s="67" t="s">
        <v>21</v>
      </c>
      <c r="E17" s="9" t="s">
        <v>22</v>
      </c>
      <c r="F17" s="9" t="s">
        <v>3</v>
      </c>
      <c r="G17" s="71" t="s">
        <v>3</v>
      </c>
      <c r="J17" s="9" t="s">
        <v>24</v>
      </c>
      <c r="K17" s="70">
        <f>+C17*1.6</f>
        <v>0.68800000000000006</v>
      </c>
      <c r="M17" s="9" t="s">
        <v>25</v>
      </c>
      <c r="N17" s="72">
        <f>1-K17</f>
        <v>0.31199999999999994</v>
      </c>
      <c r="O17" s="9" t="s">
        <v>3</v>
      </c>
      <c r="P17" s="73"/>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row>
    <row r="18" spans="2:41" s="71" customFormat="1" ht="58.5" customHeight="1" x14ac:dyDescent="0.5">
      <c r="B18" s="65" t="s">
        <v>29</v>
      </c>
      <c r="C18" s="97">
        <v>1.6</v>
      </c>
      <c r="D18" s="67"/>
      <c r="E18" s="9"/>
      <c r="F18" s="76"/>
      <c r="G18" s="77" t="s">
        <v>40</v>
      </c>
      <c r="H18" s="98"/>
      <c r="I18" s="99" t="s">
        <v>7</v>
      </c>
      <c r="K18" s="71" t="s">
        <v>0</v>
      </c>
      <c r="L18" s="71" t="s">
        <v>1</v>
      </c>
      <c r="M18" s="71" t="s">
        <v>2</v>
      </c>
      <c r="N18" s="71" t="s">
        <v>8</v>
      </c>
      <c r="O18" s="9" t="s">
        <v>17</v>
      </c>
      <c r="P18" s="73"/>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row>
    <row r="19" spans="2:41" s="71" customFormat="1" ht="58.5" customHeight="1" x14ac:dyDescent="0.5">
      <c r="B19" s="65" t="s">
        <v>9</v>
      </c>
      <c r="C19" s="67"/>
      <c r="D19" s="67">
        <f>+D7</f>
        <v>2.73</v>
      </c>
      <c r="E19" s="67">
        <f>+E7</f>
        <v>0.38</v>
      </c>
      <c r="F19" s="80"/>
      <c r="G19" s="81">
        <f>+I8/172</f>
        <v>574.03061224489829</v>
      </c>
      <c r="H19" s="81"/>
      <c r="I19" s="100">
        <f>+I8</f>
        <v>98733.265306122499</v>
      </c>
      <c r="J19" s="71" t="s">
        <v>4</v>
      </c>
      <c r="K19" s="83">
        <f>+I19*K17*D19</f>
        <v>185444.76822857151</v>
      </c>
      <c r="L19" s="83">
        <v>0</v>
      </c>
      <c r="M19" s="83">
        <f>+I19*N17*E19</f>
        <v>11705.815934693881</v>
      </c>
      <c r="N19" s="83">
        <f>SUM(K19:M19)</f>
        <v>197150.58416326539</v>
      </c>
      <c r="O19" s="84">
        <f>+N19/I19</f>
        <v>1.9967999999999999</v>
      </c>
      <c r="P19" s="73"/>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row>
    <row r="20" spans="2:41" s="71" customFormat="1" ht="58.5" customHeight="1" x14ac:dyDescent="0.5">
      <c r="B20" s="65"/>
      <c r="C20" s="67"/>
      <c r="D20" s="67"/>
      <c r="E20" s="67"/>
      <c r="F20" s="80"/>
      <c r="H20" s="81"/>
      <c r="I20" s="101"/>
      <c r="K20" s="83"/>
      <c r="L20" s="83"/>
      <c r="M20" s="83"/>
      <c r="N20" s="83"/>
      <c r="O20" s="84"/>
      <c r="P20" s="73"/>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row>
    <row r="21" spans="2:41" s="71" customFormat="1" ht="58.5" customHeight="1" thickBot="1" x14ac:dyDescent="0.55000000000000004">
      <c r="B21" s="65" t="s">
        <v>10</v>
      </c>
      <c r="C21" s="67"/>
      <c r="D21" s="67">
        <f>+D12</f>
        <v>4.3499999999999996</v>
      </c>
      <c r="E21" s="67">
        <f>+E12</f>
        <v>0.5</v>
      </c>
      <c r="F21" s="85"/>
      <c r="G21" s="86">
        <f>+I21/172</f>
        <v>1180.7653061224485</v>
      </c>
      <c r="H21" s="86"/>
      <c r="I21" s="102">
        <f>+I13</f>
        <v>203091.63265306115</v>
      </c>
      <c r="J21" s="71" t="s">
        <v>6</v>
      </c>
      <c r="K21" s="83">
        <f>+I21*K17*D21</f>
        <v>607812.63820408145</v>
      </c>
      <c r="L21" s="83">
        <v>0</v>
      </c>
      <c r="M21" s="83">
        <f>+I21*N17*E21</f>
        <v>31682.294693877535</v>
      </c>
      <c r="N21" s="83">
        <f t="shared" ref="N21" si="12">SUM(K21:M21)</f>
        <v>639494.93289795902</v>
      </c>
      <c r="O21" s="84">
        <f>+N21/I21</f>
        <v>3.1488000000000005</v>
      </c>
      <c r="P21" s="73"/>
      <c r="Q21" s="74"/>
      <c r="R21" s="74"/>
      <c r="S21" s="74"/>
      <c r="T21" s="74"/>
      <c r="U21" s="74"/>
      <c r="V21" s="74"/>
      <c r="W21" s="74"/>
      <c r="X21" s="74"/>
      <c r="Y21" s="74"/>
      <c r="Z21" s="74"/>
      <c r="AA21" s="74"/>
      <c r="AB21" s="74"/>
      <c r="AC21" s="74"/>
      <c r="AD21" s="74"/>
      <c r="AE21" s="74"/>
      <c r="AF21" s="74"/>
      <c r="AG21" s="74"/>
      <c r="AH21" s="74"/>
      <c r="AI21" s="74"/>
      <c r="AJ21" s="74"/>
      <c r="AK21" s="74"/>
      <c r="AL21" s="74"/>
      <c r="AM21" s="74"/>
      <c r="AN21" s="74"/>
      <c r="AO21" s="74"/>
    </row>
    <row r="22" spans="2:41" s="29" customFormat="1" ht="58.5" customHeight="1" thickBot="1" x14ac:dyDescent="0.95">
      <c r="B22" s="26"/>
      <c r="C22" s="27"/>
      <c r="D22" s="27"/>
      <c r="E22" s="28"/>
      <c r="J22" s="137" t="s">
        <v>12</v>
      </c>
      <c r="K22" s="137"/>
      <c r="L22" s="137"/>
      <c r="M22" s="137"/>
      <c r="N22" s="40">
        <f>+N21+N19</f>
        <v>836645.51706122444</v>
      </c>
      <c r="O22" s="32"/>
      <c r="P22" s="30"/>
      <c r="Q22" s="31"/>
      <c r="R22" s="31"/>
      <c r="S22" s="31"/>
      <c r="T22" s="31"/>
      <c r="U22" s="31"/>
      <c r="V22" s="31"/>
      <c r="W22" s="31"/>
      <c r="X22" s="31"/>
      <c r="Y22" s="31"/>
      <c r="Z22" s="31"/>
      <c r="AA22" s="31"/>
      <c r="AB22" s="31"/>
      <c r="AC22" s="31"/>
      <c r="AD22" s="31"/>
      <c r="AE22" s="31"/>
      <c r="AF22" s="31"/>
      <c r="AG22" s="31"/>
      <c r="AH22" s="31"/>
      <c r="AI22" s="31"/>
      <c r="AJ22" s="31"/>
      <c r="AK22" s="31"/>
      <c r="AL22" s="31"/>
      <c r="AM22" s="31"/>
      <c r="AN22" s="31"/>
      <c r="AO22" s="31"/>
    </row>
    <row r="23" spans="2:41" s="5" customFormat="1" ht="19.5" customHeight="1" x14ac:dyDescent="0.35">
      <c r="B23" s="16"/>
      <c r="C23" s="17"/>
      <c r="D23" s="17"/>
      <c r="E23" s="18"/>
      <c r="J23" s="20"/>
      <c r="K23" s="20"/>
      <c r="L23" s="20"/>
      <c r="M23" s="20"/>
      <c r="N23" s="21"/>
      <c r="O23" s="22"/>
      <c r="P23" s="19"/>
      <c r="Q23" s="4"/>
      <c r="R23" s="4"/>
      <c r="S23" s="4"/>
      <c r="T23" s="4"/>
      <c r="U23" s="4"/>
      <c r="V23" s="4"/>
      <c r="W23" s="4"/>
      <c r="X23" s="4"/>
      <c r="Y23" s="4"/>
      <c r="Z23" s="4"/>
      <c r="AA23" s="4"/>
      <c r="AB23" s="4"/>
      <c r="AC23" s="4"/>
      <c r="AD23" s="4"/>
      <c r="AE23" s="4"/>
      <c r="AF23" s="4"/>
      <c r="AG23" s="4"/>
      <c r="AH23" s="4"/>
      <c r="AI23" s="4"/>
      <c r="AJ23" s="4"/>
      <c r="AK23" s="4"/>
      <c r="AL23" s="4"/>
      <c r="AM23" s="4"/>
      <c r="AN23" s="4"/>
      <c r="AO23" s="4"/>
    </row>
    <row r="24" spans="2:41" s="7" customFormat="1" ht="61.5" customHeight="1" x14ac:dyDescent="0.9">
      <c r="B24" s="142" t="s">
        <v>42</v>
      </c>
      <c r="C24" s="136"/>
      <c r="D24" s="136"/>
      <c r="E24" s="136"/>
      <c r="F24" s="136"/>
      <c r="G24" s="136"/>
      <c r="H24" s="136"/>
      <c r="I24" s="136"/>
      <c r="J24" s="136"/>
      <c r="K24" s="136"/>
      <c r="L24" s="136"/>
      <c r="M24" s="136"/>
      <c r="N24" s="136"/>
      <c r="O24" s="136"/>
      <c r="P24" s="15"/>
      <c r="Q24" s="6"/>
      <c r="R24" s="6"/>
      <c r="S24" s="6"/>
      <c r="T24" s="6"/>
      <c r="U24" s="6"/>
      <c r="V24" s="6"/>
      <c r="W24" s="6"/>
      <c r="X24" s="6"/>
      <c r="Y24" s="6"/>
      <c r="Z24" s="6"/>
      <c r="AA24" s="6"/>
      <c r="AB24" s="6"/>
      <c r="AC24" s="6"/>
      <c r="AD24" s="6"/>
      <c r="AE24" s="6"/>
      <c r="AF24" s="6"/>
      <c r="AG24" s="6"/>
      <c r="AH24" s="6"/>
      <c r="AI24" s="6"/>
      <c r="AJ24" s="6"/>
      <c r="AK24" s="6"/>
      <c r="AL24" s="6"/>
      <c r="AM24" s="6"/>
      <c r="AN24" s="6"/>
      <c r="AO24" s="6"/>
    </row>
    <row r="25" spans="2:41" s="71" customFormat="1" ht="142.5" customHeight="1" thickBot="1" x14ac:dyDescent="0.55000000000000004">
      <c r="B25" s="65" t="s">
        <v>23</v>
      </c>
      <c r="C25" s="66">
        <f>+C17</f>
        <v>0.43</v>
      </c>
      <c r="D25" s="67" t="s">
        <v>21</v>
      </c>
      <c r="E25" s="9" t="s">
        <v>22</v>
      </c>
      <c r="F25" s="9"/>
      <c r="I25" s="9" t="s">
        <v>28</v>
      </c>
      <c r="J25" s="9" t="s">
        <v>24</v>
      </c>
      <c r="K25" s="70">
        <f>+C25*1.6</f>
        <v>0.68800000000000006</v>
      </c>
      <c r="M25" s="9" t="s">
        <v>25</v>
      </c>
      <c r="N25" s="72">
        <f>1-K25</f>
        <v>0.31199999999999994</v>
      </c>
      <c r="O25" s="9" t="s">
        <v>17</v>
      </c>
      <c r="P25" s="73"/>
      <c r="Q25" s="74"/>
      <c r="R25" s="74"/>
      <c r="S25" s="74"/>
      <c r="T25" s="74"/>
      <c r="U25" s="74"/>
      <c r="V25" s="74"/>
      <c r="W25" s="74"/>
      <c r="X25" s="74"/>
      <c r="Y25" s="74"/>
      <c r="Z25" s="74"/>
      <c r="AA25" s="74"/>
      <c r="AB25" s="74"/>
      <c r="AC25" s="74"/>
      <c r="AD25" s="74"/>
      <c r="AE25" s="74"/>
      <c r="AF25" s="74"/>
      <c r="AG25" s="74"/>
      <c r="AH25" s="74"/>
      <c r="AI25" s="74"/>
      <c r="AJ25" s="74"/>
      <c r="AK25" s="74"/>
      <c r="AL25" s="74"/>
      <c r="AM25" s="74"/>
      <c r="AN25" s="74"/>
      <c r="AO25" s="74"/>
    </row>
    <row r="26" spans="2:41" s="71" customFormat="1" ht="142.5" customHeight="1" thickBot="1" x14ac:dyDescent="0.55000000000000004">
      <c r="B26" s="65"/>
      <c r="C26" s="67"/>
      <c r="D26" s="67"/>
      <c r="E26" s="9"/>
      <c r="F26" s="76"/>
      <c r="G26" s="77" t="s">
        <v>40</v>
      </c>
      <c r="H26" s="77" t="s">
        <v>39</v>
      </c>
      <c r="I26" s="78" t="s">
        <v>3</v>
      </c>
      <c r="K26" s="71" t="s">
        <v>0</v>
      </c>
      <c r="L26" s="71" t="s">
        <v>1</v>
      </c>
      <c r="M26" s="71" t="s">
        <v>2</v>
      </c>
      <c r="N26" s="71" t="s">
        <v>8</v>
      </c>
      <c r="O26" s="79" t="s">
        <v>3</v>
      </c>
      <c r="P26" s="73"/>
      <c r="Q26" s="74"/>
      <c r="R26" s="74"/>
      <c r="S26" s="74"/>
      <c r="T26" s="74"/>
      <c r="U26" s="74"/>
      <c r="V26" s="74"/>
      <c r="W26" s="74"/>
      <c r="X26" s="74"/>
      <c r="Y26" s="74"/>
      <c r="Z26" s="74"/>
      <c r="AA26" s="74"/>
      <c r="AB26" s="74"/>
      <c r="AC26" s="74"/>
      <c r="AD26" s="74"/>
      <c r="AE26" s="74"/>
      <c r="AF26" s="74"/>
      <c r="AG26" s="74"/>
      <c r="AH26" s="74"/>
      <c r="AI26" s="74"/>
      <c r="AJ26" s="74"/>
      <c r="AK26" s="74"/>
      <c r="AL26" s="74"/>
      <c r="AM26" s="74"/>
      <c r="AN26" s="74"/>
      <c r="AO26" s="74"/>
    </row>
    <row r="27" spans="2:41" s="71" customFormat="1" ht="142.5" customHeight="1" x14ac:dyDescent="0.5">
      <c r="B27" s="65" t="s">
        <v>26</v>
      </c>
      <c r="C27" s="67"/>
      <c r="D27" s="67">
        <f>+D19</f>
        <v>2.73</v>
      </c>
      <c r="E27" s="67">
        <f>+E19</f>
        <v>0.38</v>
      </c>
      <c r="F27" s="80"/>
      <c r="G27" s="81">
        <f>+I27/172</f>
        <v>795.11627906976742</v>
      </c>
      <c r="H27" s="81">
        <f>+G27-$G$19</f>
        <v>221.08566682486912</v>
      </c>
      <c r="I27" s="93">
        <v>136760</v>
      </c>
      <c r="J27" s="71" t="s">
        <v>4</v>
      </c>
      <c r="K27" s="83">
        <f>+I27*K25*D27</f>
        <v>256868.1024</v>
      </c>
      <c r="L27" s="83">
        <v>0</v>
      </c>
      <c r="M27" s="83">
        <f>+I27*N25*E27</f>
        <v>16214.265599999999</v>
      </c>
      <c r="N27" s="83">
        <f>SUM(K27:M27)</f>
        <v>273082.36800000002</v>
      </c>
      <c r="O27" s="84">
        <f>+N27/I27</f>
        <v>1.9968000000000001</v>
      </c>
      <c r="P27" s="73"/>
      <c r="Q27" s="74"/>
      <c r="R27" s="74"/>
      <c r="S27" s="74"/>
      <c r="T27" s="74"/>
      <c r="U27" s="74"/>
      <c r="V27" s="74"/>
      <c r="W27" s="74"/>
      <c r="X27" s="74"/>
      <c r="Y27" s="74"/>
      <c r="Z27" s="74"/>
      <c r="AA27" s="74"/>
      <c r="AB27" s="74"/>
      <c r="AC27" s="74"/>
      <c r="AD27" s="74"/>
      <c r="AE27" s="74"/>
      <c r="AF27" s="74"/>
      <c r="AG27" s="74"/>
      <c r="AH27" s="74"/>
      <c r="AI27" s="74"/>
      <c r="AJ27" s="74"/>
      <c r="AK27" s="74"/>
      <c r="AL27" s="74"/>
      <c r="AM27" s="74"/>
      <c r="AN27" s="74"/>
      <c r="AO27" s="74"/>
    </row>
    <row r="28" spans="2:41" s="71" customFormat="1" ht="142.5" customHeight="1" x14ac:dyDescent="0.5">
      <c r="B28" s="65"/>
      <c r="C28" s="67"/>
      <c r="D28" s="67"/>
      <c r="E28" s="67"/>
      <c r="F28" s="80"/>
      <c r="H28" s="81"/>
      <c r="I28" s="94" t="s">
        <v>3</v>
      </c>
      <c r="K28" s="83"/>
      <c r="L28" s="83"/>
      <c r="M28" s="83"/>
      <c r="N28" s="83"/>
      <c r="O28" s="84"/>
      <c r="P28" s="73"/>
      <c r="Q28" s="74"/>
      <c r="R28" s="74"/>
      <c r="S28" s="74"/>
      <c r="T28" s="74"/>
      <c r="U28" s="74"/>
      <c r="V28" s="74"/>
      <c r="W28" s="74"/>
      <c r="X28" s="74"/>
      <c r="Y28" s="74"/>
      <c r="Z28" s="74"/>
      <c r="AA28" s="74"/>
      <c r="AB28" s="74"/>
      <c r="AC28" s="74"/>
      <c r="AD28" s="74"/>
      <c r="AE28" s="74"/>
      <c r="AF28" s="74"/>
      <c r="AG28" s="74"/>
      <c r="AH28" s="74"/>
      <c r="AI28" s="74"/>
      <c r="AJ28" s="74"/>
      <c r="AK28" s="74"/>
      <c r="AL28" s="74"/>
      <c r="AM28" s="74"/>
      <c r="AN28" s="74"/>
      <c r="AO28" s="74"/>
    </row>
    <row r="29" spans="2:41" s="71" customFormat="1" ht="142.5" customHeight="1" thickBot="1" x14ac:dyDescent="0.55000000000000004">
      <c r="B29" s="65" t="s">
        <v>27</v>
      </c>
      <c r="C29" s="67"/>
      <c r="D29" s="67">
        <f>+D21</f>
        <v>4.3499999999999996</v>
      </c>
      <c r="E29" s="67">
        <f>+E21</f>
        <v>0.5</v>
      </c>
      <c r="F29" s="85"/>
      <c r="G29" s="86">
        <f>+I29/172</f>
        <v>1252.3313953488373</v>
      </c>
      <c r="H29" s="86">
        <f>+G29-$G$21</f>
        <v>71.56608922638884</v>
      </c>
      <c r="I29" s="95">
        <v>215401</v>
      </c>
      <c r="J29" s="71" t="s">
        <v>6</v>
      </c>
      <c r="K29" s="83">
        <f>+I29*K25*D29</f>
        <v>644652.1128</v>
      </c>
      <c r="L29" s="83">
        <v>0</v>
      </c>
      <c r="M29" s="83">
        <f>+I29*N25*E29</f>
        <v>33602.555999999997</v>
      </c>
      <c r="N29" s="83">
        <f t="shared" ref="N29" si="13">SUM(K29:M29)</f>
        <v>678254.66879999998</v>
      </c>
      <c r="O29" s="84">
        <f>+N29/I29</f>
        <v>3.1488</v>
      </c>
      <c r="P29" s="73"/>
      <c r="Q29" s="74"/>
      <c r="R29" s="74"/>
      <c r="S29" s="74"/>
      <c r="T29" s="74"/>
      <c r="U29" s="74"/>
      <c r="V29" s="74"/>
      <c r="W29" s="74"/>
      <c r="X29" s="74"/>
      <c r="Y29" s="74"/>
      <c r="Z29" s="74"/>
      <c r="AA29" s="74"/>
      <c r="AB29" s="74"/>
      <c r="AC29" s="74"/>
      <c r="AD29" s="74"/>
      <c r="AE29" s="74"/>
      <c r="AF29" s="74"/>
      <c r="AG29" s="74"/>
      <c r="AH29" s="74"/>
      <c r="AI29" s="74"/>
      <c r="AJ29" s="74"/>
      <c r="AK29" s="74"/>
      <c r="AL29" s="74"/>
      <c r="AM29" s="74"/>
      <c r="AN29" s="74"/>
      <c r="AO29" s="74"/>
    </row>
    <row r="30" spans="2:41" s="36" customFormat="1" ht="66.75" customHeight="1" thickBot="1" x14ac:dyDescent="0.95">
      <c r="B30" s="33"/>
      <c r="C30" s="34"/>
      <c r="D30" s="34"/>
      <c r="E30" s="35"/>
      <c r="J30" s="137" t="s">
        <v>45</v>
      </c>
      <c r="K30" s="137"/>
      <c r="L30" s="137"/>
      <c r="M30" s="137"/>
      <c r="N30" s="40">
        <f>+N29+N27</f>
        <v>951337.0368</v>
      </c>
      <c r="O30" s="32"/>
      <c r="P30" s="37"/>
      <c r="Q30" s="38"/>
      <c r="R30" s="38"/>
      <c r="S30" s="38"/>
      <c r="T30" s="38"/>
      <c r="U30" s="38"/>
      <c r="V30" s="38"/>
      <c r="W30" s="38"/>
      <c r="X30" s="38"/>
      <c r="Y30" s="38"/>
      <c r="Z30" s="38"/>
      <c r="AA30" s="38"/>
      <c r="AB30" s="38"/>
      <c r="AC30" s="38"/>
      <c r="AD30" s="38"/>
      <c r="AE30" s="38"/>
      <c r="AF30" s="38"/>
      <c r="AG30" s="38"/>
      <c r="AH30" s="38"/>
      <c r="AI30" s="38"/>
      <c r="AJ30" s="38"/>
      <c r="AK30" s="38"/>
      <c r="AL30" s="38"/>
      <c r="AM30" s="38"/>
      <c r="AN30" s="38"/>
      <c r="AO30" s="38"/>
    </row>
    <row r="31" spans="2:41" ht="21" customHeight="1" x14ac:dyDescent="0.3">
      <c r="B31" s="16"/>
      <c r="C31" s="17"/>
      <c r="D31" s="17"/>
      <c r="E31" s="18"/>
      <c r="F31" s="5"/>
      <c r="G31" s="5"/>
      <c r="H31" s="5"/>
      <c r="I31" s="5"/>
      <c r="J31" s="18"/>
      <c r="K31" s="18"/>
      <c r="L31" s="18"/>
      <c r="M31" s="18"/>
      <c r="N31" s="23"/>
      <c r="O31" s="5"/>
      <c r="P31" s="19"/>
    </row>
    <row r="32" spans="2:41" s="11" customFormat="1" ht="129" customHeight="1" x14ac:dyDescent="0.9">
      <c r="B32" s="147" t="s">
        <v>43</v>
      </c>
      <c r="C32" s="148"/>
      <c r="D32" s="148"/>
      <c r="E32" s="148"/>
      <c r="F32" s="148"/>
      <c r="G32" s="148"/>
      <c r="H32" s="148"/>
      <c r="I32" s="148"/>
      <c r="J32" s="148"/>
      <c r="K32" s="148"/>
      <c r="L32" s="148"/>
      <c r="M32" s="148"/>
      <c r="N32" s="148"/>
      <c r="O32" s="148"/>
      <c r="P32" s="24"/>
      <c r="Q32" s="10"/>
      <c r="R32" s="10"/>
      <c r="S32" s="10"/>
      <c r="T32" s="10"/>
      <c r="U32" s="10"/>
      <c r="V32" s="10"/>
      <c r="W32" s="10"/>
      <c r="X32" s="10"/>
      <c r="Y32" s="10"/>
      <c r="Z32" s="10"/>
      <c r="AA32" s="10"/>
      <c r="AB32" s="10"/>
      <c r="AC32" s="10"/>
      <c r="AD32" s="10"/>
      <c r="AE32" s="10"/>
      <c r="AF32" s="10"/>
      <c r="AG32" s="10"/>
      <c r="AH32" s="10"/>
      <c r="AI32" s="10"/>
      <c r="AJ32" s="10"/>
      <c r="AK32" s="10"/>
      <c r="AL32" s="10"/>
      <c r="AM32" s="10"/>
      <c r="AN32" s="10"/>
      <c r="AO32" s="10"/>
    </row>
    <row r="33" spans="2:41" s="71" customFormat="1" ht="172.5" customHeight="1" thickBot="1" x14ac:dyDescent="0.55000000000000004">
      <c r="B33" s="65" t="s">
        <v>23</v>
      </c>
      <c r="C33" s="66">
        <f>+C25</f>
        <v>0.43</v>
      </c>
      <c r="D33" s="67" t="s">
        <v>21</v>
      </c>
      <c r="E33" s="9" t="s">
        <v>22</v>
      </c>
      <c r="F33" s="9"/>
      <c r="I33" s="9" t="s">
        <v>32</v>
      </c>
      <c r="J33" s="9" t="s">
        <v>24</v>
      </c>
      <c r="K33" s="70">
        <f>+C33*1.6</f>
        <v>0.68800000000000006</v>
      </c>
      <c r="M33" s="9" t="s">
        <v>36</v>
      </c>
      <c r="N33" s="72">
        <f>1-K33</f>
        <v>0.31199999999999994</v>
      </c>
      <c r="O33" s="9" t="s">
        <v>3</v>
      </c>
      <c r="P33" s="73"/>
      <c r="Q33" s="74"/>
      <c r="R33" s="74"/>
      <c r="S33" s="74"/>
      <c r="T33" s="74"/>
      <c r="U33" s="74"/>
      <c r="V33" s="74"/>
      <c r="W33" s="74"/>
      <c r="X33" s="74"/>
      <c r="Y33" s="74"/>
      <c r="Z33" s="74"/>
      <c r="AA33" s="74"/>
      <c r="AB33" s="74"/>
      <c r="AC33" s="74"/>
      <c r="AD33" s="74"/>
      <c r="AE33" s="74"/>
      <c r="AF33" s="74"/>
      <c r="AG33" s="74"/>
      <c r="AH33" s="74"/>
      <c r="AI33" s="74"/>
      <c r="AJ33" s="74"/>
      <c r="AK33" s="74"/>
      <c r="AL33" s="74"/>
      <c r="AM33" s="74"/>
      <c r="AN33" s="74"/>
      <c r="AO33" s="74"/>
    </row>
    <row r="34" spans="2:41" s="71" customFormat="1" ht="64.5" customHeight="1" thickBot="1" x14ac:dyDescent="0.55000000000000004">
      <c r="B34" s="88" t="s">
        <v>30</v>
      </c>
      <c r="C34" s="89">
        <v>1.18</v>
      </c>
      <c r="D34" s="67"/>
      <c r="E34" s="9"/>
      <c r="F34" s="76"/>
      <c r="G34" s="77" t="s">
        <v>40</v>
      </c>
      <c r="H34" s="77" t="s">
        <v>39</v>
      </c>
      <c r="I34" s="90"/>
      <c r="K34" s="71" t="s">
        <v>0</v>
      </c>
      <c r="L34" s="71" t="s">
        <v>1</v>
      </c>
      <c r="M34" s="71" t="s">
        <v>2</v>
      </c>
      <c r="N34" s="71" t="s">
        <v>8</v>
      </c>
      <c r="O34" s="9" t="s">
        <v>17</v>
      </c>
      <c r="P34" s="73"/>
      <c r="Q34" s="74"/>
      <c r="R34" s="74"/>
      <c r="S34" s="74"/>
      <c r="T34" s="74"/>
      <c r="U34" s="74"/>
      <c r="V34" s="74"/>
      <c r="W34" s="74"/>
      <c r="X34" s="74"/>
      <c r="Y34" s="74"/>
      <c r="Z34" s="74"/>
      <c r="AA34" s="74"/>
      <c r="AB34" s="74"/>
      <c r="AC34" s="74"/>
      <c r="AD34" s="74"/>
      <c r="AE34" s="74"/>
      <c r="AF34" s="74"/>
      <c r="AG34" s="74"/>
      <c r="AH34" s="74"/>
      <c r="AI34" s="74"/>
      <c r="AJ34" s="74"/>
      <c r="AK34" s="74"/>
      <c r="AL34" s="74"/>
      <c r="AM34" s="74"/>
      <c r="AN34" s="74"/>
      <c r="AO34" s="74"/>
    </row>
    <row r="35" spans="2:41" s="71" customFormat="1" ht="31.5" x14ac:dyDescent="0.5">
      <c r="B35" s="65" t="s">
        <v>26</v>
      </c>
      <c r="C35" s="67"/>
      <c r="D35" s="67">
        <f>+D27</f>
        <v>2.73</v>
      </c>
      <c r="E35" s="67">
        <f>+E27</f>
        <v>0.38</v>
      </c>
      <c r="F35" s="80"/>
      <c r="G35" s="81">
        <f>+I35/172</f>
        <v>938.23720930232548</v>
      </c>
      <c r="H35" s="81">
        <f>+G35-$G$19</f>
        <v>364.20659705742719</v>
      </c>
      <c r="I35" s="91">
        <f>+I27*C34</f>
        <v>161376.79999999999</v>
      </c>
      <c r="J35" s="71" t="s">
        <v>4</v>
      </c>
      <c r="K35" s="83">
        <f>+I35*K33*D35</f>
        <v>303104.36083199998</v>
      </c>
      <c r="L35" s="83">
        <v>0</v>
      </c>
      <c r="M35" s="83">
        <f>+I35*N33*E35</f>
        <v>19132.833407999995</v>
      </c>
      <c r="N35" s="83">
        <f>SUM(K35:M35)</f>
        <v>322237.19423999998</v>
      </c>
      <c r="O35" s="84">
        <f>+N35/I35</f>
        <v>1.9968000000000001</v>
      </c>
      <c r="P35" s="73"/>
      <c r="Q35" s="74"/>
      <c r="R35" s="74"/>
      <c r="S35" s="74"/>
      <c r="T35" s="74"/>
      <c r="U35" s="74"/>
      <c r="V35" s="74"/>
      <c r="W35" s="74"/>
      <c r="X35" s="74"/>
      <c r="Y35" s="74"/>
      <c r="Z35" s="74"/>
      <c r="AA35" s="74"/>
      <c r="AB35" s="74"/>
      <c r="AC35" s="74"/>
      <c r="AD35" s="74"/>
      <c r="AE35" s="74"/>
      <c r="AF35" s="74"/>
      <c r="AG35" s="74"/>
      <c r="AH35" s="74"/>
      <c r="AI35" s="74"/>
      <c r="AJ35" s="74"/>
      <c r="AK35" s="74"/>
      <c r="AL35" s="74"/>
      <c r="AM35" s="74"/>
      <c r="AN35" s="74"/>
      <c r="AO35" s="74"/>
    </row>
    <row r="36" spans="2:41" s="71" customFormat="1" ht="31.5" x14ac:dyDescent="0.5">
      <c r="B36" s="65"/>
      <c r="C36" s="67"/>
      <c r="D36" s="67"/>
      <c r="E36" s="67"/>
      <c r="F36" s="80"/>
      <c r="H36" s="81"/>
      <c r="I36" s="91" t="s">
        <v>3</v>
      </c>
      <c r="K36" s="83"/>
      <c r="L36" s="83"/>
      <c r="M36" s="83"/>
      <c r="N36" s="83"/>
      <c r="O36" s="84"/>
      <c r="P36" s="73"/>
      <c r="Q36" s="74"/>
      <c r="R36" s="74"/>
      <c r="S36" s="74"/>
      <c r="T36" s="74"/>
      <c r="U36" s="74"/>
      <c r="V36" s="74"/>
      <c r="W36" s="74"/>
      <c r="X36" s="74"/>
      <c r="Y36" s="74"/>
      <c r="Z36" s="74"/>
      <c r="AA36" s="74"/>
      <c r="AB36" s="74"/>
      <c r="AC36" s="74"/>
      <c r="AD36" s="74"/>
      <c r="AE36" s="74"/>
      <c r="AF36" s="74"/>
      <c r="AG36" s="74"/>
      <c r="AH36" s="74"/>
      <c r="AI36" s="74"/>
      <c r="AJ36" s="74"/>
      <c r="AK36" s="74"/>
      <c r="AL36" s="74"/>
      <c r="AM36" s="74"/>
      <c r="AN36" s="74"/>
      <c r="AO36" s="74"/>
    </row>
    <row r="37" spans="2:41" s="71" customFormat="1" ht="32.25" thickBot="1" x14ac:dyDescent="0.55000000000000004">
      <c r="B37" s="65" t="s">
        <v>27</v>
      </c>
      <c r="C37" s="67"/>
      <c r="D37" s="67">
        <f>+D29</f>
        <v>4.3499999999999996</v>
      </c>
      <c r="E37" s="67">
        <f>+E29</f>
        <v>0.5</v>
      </c>
      <c r="F37" s="85"/>
      <c r="G37" s="86">
        <f>+I37/172</f>
        <v>1477.7510465116279</v>
      </c>
      <c r="H37" s="86">
        <f>+G37-$G$21</f>
        <v>296.98574038917945</v>
      </c>
      <c r="I37" s="92">
        <f>+I29*C34</f>
        <v>254173.18</v>
      </c>
      <c r="J37" s="71" t="s">
        <v>6</v>
      </c>
      <c r="K37" s="83">
        <f>+I37*K33*D37</f>
        <v>760689.49310399999</v>
      </c>
      <c r="L37" s="83">
        <v>0</v>
      </c>
      <c r="M37" s="83">
        <f>+I37*N33*E37</f>
        <v>39651.016079999994</v>
      </c>
      <c r="N37" s="83">
        <f t="shared" ref="N37" si="14">SUM(K37:M37)</f>
        <v>800340.50918399997</v>
      </c>
      <c r="O37" s="84">
        <f>+N37/I37</f>
        <v>3.1488</v>
      </c>
      <c r="P37" s="73"/>
      <c r="Q37" s="74"/>
      <c r="R37" s="74"/>
      <c r="S37" s="74"/>
      <c r="T37" s="74"/>
      <c r="U37" s="74"/>
      <c r="V37" s="74"/>
      <c r="W37" s="74"/>
      <c r="X37" s="74"/>
      <c r="Y37" s="74"/>
      <c r="Z37" s="74"/>
      <c r="AA37" s="74"/>
      <c r="AB37" s="74"/>
      <c r="AC37" s="74"/>
      <c r="AD37" s="74"/>
      <c r="AE37" s="74"/>
      <c r="AF37" s="74"/>
      <c r="AG37" s="74"/>
      <c r="AH37" s="74"/>
      <c r="AI37" s="74"/>
      <c r="AJ37" s="74"/>
      <c r="AK37" s="74"/>
      <c r="AL37" s="74"/>
      <c r="AM37" s="74"/>
      <c r="AN37" s="74"/>
      <c r="AO37" s="74"/>
    </row>
    <row r="38" spans="2:41" s="29" customFormat="1" ht="96.75" customHeight="1" thickBot="1" x14ac:dyDescent="0.95">
      <c r="B38" s="26"/>
      <c r="C38" s="27"/>
      <c r="D38" s="27"/>
      <c r="E38" s="28"/>
      <c r="J38" s="137" t="s">
        <v>46</v>
      </c>
      <c r="K38" s="137"/>
      <c r="L38" s="137"/>
      <c r="M38" s="137"/>
      <c r="N38" s="40">
        <f>+N37+N35</f>
        <v>1122577.7034239999</v>
      </c>
      <c r="O38" s="32"/>
      <c r="P38" s="30"/>
      <c r="Q38" s="31"/>
      <c r="R38" s="31"/>
      <c r="S38" s="31"/>
      <c r="T38" s="31"/>
      <c r="U38" s="31"/>
      <c r="V38" s="31"/>
      <c r="W38" s="31"/>
      <c r="X38" s="31"/>
      <c r="Y38" s="31"/>
      <c r="Z38" s="31"/>
      <c r="AA38" s="31"/>
      <c r="AB38" s="31"/>
      <c r="AC38" s="31"/>
      <c r="AD38" s="31"/>
      <c r="AE38" s="31"/>
      <c r="AF38" s="31"/>
      <c r="AG38" s="31"/>
      <c r="AH38" s="31"/>
      <c r="AI38" s="31"/>
      <c r="AJ38" s="31"/>
      <c r="AK38" s="31"/>
      <c r="AL38" s="31"/>
      <c r="AM38" s="31"/>
      <c r="AN38" s="31"/>
      <c r="AO38" s="31"/>
    </row>
    <row r="39" spans="2:41" s="61" customFormat="1" ht="13.5" customHeight="1" x14ac:dyDescent="0.9">
      <c r="B39" s="58"/>
      <c r="C39" s="59"/>
      <c r="D39" s="59"/>
      <c r="E39" s="60"/>
      <c r="J39" s="60"/>
      <c r="K39" s="60"/>
      <c r="L39" s="60"/>
      <c r="M39" s="60"/>
      <c r="N39" s="62"/>
      <c r="O39" s="63"/>
      <c r="P39" s="64"/>
    </row>
    <row r="40" spans="2:41" s="7" customFormat="1" ht="61.5" customHeight="1" thickBot="1" x14ac:dyDescent="0.95">
      <c r="B40" s="135" t="s">
        <v>57</v>
      </c>
      <c r="C40" s="136"/>
      <c r="D40" s="136"/>
      <c r="E40" s="136"/>
      <c r="F40" s="136"/>
      <c r="G40" s="136"/>
      <c r="H40" s="136"/>
      <c r="I40" s="136"/>
      <c r="J40" s="136"/>
      <c r="K40" s="136"/>
      <c r="L40" s="136"/>
      <c r="M40" s="136"/>
      <c r="N40" s="136"/>
      <c r="O40" s="136"/>
      <c r="P40" s="15"/>
      <c r="Q40" s="6"/>
      <c r="R40" s="6"/>
      <c r="S40" s="6"/>
      <c r="T40" s="6"/>
      <c r="U40" s="6"/>
      <c r="V40" s="6"/>
      <c r="W40" s="6"/>
      <c r="X40" s="6"/>
      <c r="Y40" s="6"/>
      <c r="Z40" s="6"/>
      <c r="AA40" s="6"/>
      <c r="AB40" s="6"/>
      <c r="AC40" s="6"/>
      <c r="AD40" s="6"/>
      <c r="AE40" s="6"/>
      <c r="AF40" s="6"/>
      <c r="AG40" s="6"/>
      <c r="AH40" s="6"/>
      <c r="AI40" s="6"/>
      <c r="AJ40" s="6"/>
      <c r="AK40" s="6"/>
      <c r="AL40" s="6"/>
      <c r="AM40" s="6"/>
      <c r="AN40" s="6"/>
      <c r="AO40" s="6"/>
    </row>
    <row r="41" spans="2:41" s="71" customFormat="1" ht="146.25" customHeight="1" thickBot="1" x14ac:dyDescent="0.55000000000000004">
      <c r="B41" s="65" t="s">
        <v>23</v>
      </c>
      <c r="C41" s="66">
        <f>+C17</f>
        <v>0.43</v>
      </c>
      <c r="D41" s="67" t="s">
        <v>21</v>
      </c>
      <c r="E41" s="9" t="s">
        <v>22</v>
      </c>
      <c r="F41" s="9" t="s">
        <v>64</v>
      </c>
      <c r="G41" s="68">
        <v>0.6</v>
      </c>
      <c r="H41" s="9" t="s">
        <v>63</v>
      </c>
      <c r="I41" s="69">
        <v>0.3</v>
      </c>
      <c r="J41" s="9" t="s">
        <v>24</v>
      </c>
      <c r="K41" s="70">
        <f>+C41*1.6</f>
        <v>0.68800000000000006</v>
      </c>
      <c r="M41" s="9" t="s">
        <v>25</v>
      </c>
      <c r="N41" s="72">
        <f>1-K41</f>
        <v>0.31199999999999994</v>
      </c>
      <c r="O41" s="9" t="s">
        <v>17</v>
      </c>
      <c r="P41" s="73"/>
      <c r="Q41" s="74"/>
      <c r="R41" s="74"/>
      <c r="S41" s="74"/>
      <c r="T41" s="74"/>
      <c r="U41" s="74"/>
      <c r="V41" s="74"/>
      <c r="W41" s="74"/>
      <c r="X41" s="74"/>
      <c r="Y41" s="74"/>
      <c r="Z41" s="74"/>
      <c r="AA41" s="74"/>
      <c r="AB41" s="74"/>
      <c r="AC41" s="74"/>
      <c r="AD41" s="74"/>
      <c r="AE41" s="74"/>
      <c r="AF41" s="74"/>
      <c r="AG41" s="74"/>
      <c r="AH41" s="74"/>
      <c r="AI41" s="74"/>
      <c r="AJ41" s="74"/>
      <c r="AK41" s="74"/>
      <c r="AL41" s="74"/>
      <c r="AM41" s="74"/>
      <c r="AN41" s="74"/>
      <c r="AO41" s="74"/>
    </row>
    <row r="42" spans="2:41" s="71" customFormat="1" ht="92.25" customHeight="1" thickBot="1" x14ac:dyDescent="0.55000000000000004">
      <c r="B42" s="65" t="s">
        <v>58</v>
      </c>
      <c r="C42" s="75">
        <v>2200</v>
      </c>
      <c r="D42" s="67"/>
      <c r="E42" s="9"/>
      <c r="F42" s="76"/>
      <c r="G42" s="77" t="s">
        <v>40</v>
      </c>
      <c r="H42" s="77" t="s">
        <v>39</v>
      </c>
      <c r="I42" s="78" t="s">
        <v>3</v>
      </c>
      <c r="K42" s="71" t="s">
        <v>0</v>
      </c>
      <c r="L42" s="71" t="s">
        <v>1</v>
      </c>
      <c r="M42" s="71" t="s">
        <v>2</v>
      </c>
      <c r="N42" s="71" t="s">
        <v>8</v>
      </c>
      <c r="O42" s="79" t="s">
        <v>3</v>
      </c>
      <c r="P42" s="73"/>
      <c r="Q42" s="74"/>
      <c r="R42" s="74"/>
      <c r="S42" s="74"/>
      <c r="T42" s="74"/>
      <c r="U42" s="74"/>
      <c r="V42" s="74"/>
      <c r="W42" s="74"/>
      <c r="X42" s="74"/>
      <c r="Y42" s="74"/>
      <c r="Z42" s="74"/>
      <c r="AA42" s="74"/>
      <c r="AB42" s="74"/>
      <c r="AC42" s="74"/>
      <c r="AD42" s="74"/>
      <c r="AE42" s="74"/>
      <c r="AF42" s="74"/>
      <c r="AG42" s="74"/>
      <c r="AH42" s="74"/>
      <c r="AI42" s="74"/>
      <c r="AJ42" s="74"/>
      <c r="AK42" s="74"/>
      <c r="AL42" s="74"/>
      <c r="AM42" s="74"/>
      <c r="AN42" s="74"/>
      <c r="AO42" s="74"/>
    </row>
    <row r="43" spans="2:41" s="71" customFormat="1" ht="52.5" customHeight="1" x14ac:dyDescent="0.5">
      <c r="B43" s="65" t="s">
        <v>26</v>
      </c>
      <c r="C43" s="67"/>
      <c r="D43" s="67">
        <f>+D5</f>
        <v>2.73</v>
      </c>
      <c r="E43" s="67">
        <f>+E5</f>
        <v>0.38</v>
      </c>
      <c r="F43" s="80"/>
      <c r="G43" s="81">
        <f>+I43/172</f>
        <v>660</v>
      </c>
      <c r="H43" s="81">
        <f>+G43-$G$19</f>
        <v>85.969387755101707</v>
      </c>
      <c r="I43" s="82">
        <f>+(C42*I41)*172</f>
        <v>113520</v>
      </c>
      <c r="J43" s="71" t="s">
        <v>4</v>
      </c>
      <c r="K43" s="83">
        <f>+I43*K41*D43</f>
        <v>213217.80480000001</v>
      </c>
      <c r="L43" s="83">
        <v>0</v>
      </c>
      <c r="M43" s="83">
        <f>+I43*N41*E43</f>
        <v>13458.931199999997</v>
      </c>
      <c r="N43" s="83">
        <f>SUM(K43:M43)</f>
        <v>226676.736</v>
      </c>
      <c r="O43" s="84">
        <f>+N43/I43</f>
        <v>1.9968000000000001</v>
      </c>
      <c r="P43" s="73"/>
      <c r="Q43" s="74"/>
      <c r="R43" s="74"/>
      <c r="S43" s="74"/>
      <c r="T43" s="74"/>
      <c r="U43" s="74"/>
      <c r="V43" s="74"/>
      <c r="W43" s="74"/>
      <c r="X43" s="74"/>
      <c r="Y43" s="74"/>
      <c r="Z43" s="74"/>
      <c r="AA43" s="74"/>
      <c r="AB43" s="74"/>
      <c r="AC43" s="74"/>
      <c r="AD43" s="74"/>
      <c r="AE43" s="74"/>
      <c r="AF43" s="74"/>
      <c r="AG43" s="74"/>
      <c r="AH43" s="74"/>
      <c r="AI43" s="74"/>
      <c r="AJ43" s="74"/>
      <c r="AK43" s="74"/>
      <c r="AL43" s="74"/>
      <c r="AM43" s="74"/>
      <c r="AN43" s="74"/>
      <c r="AO43" s="74"/>
    </row>
    <row r="44" spans="2:41" s="71" customFormat="1" ht="52.5" customHeight="1" x14ac:dyDescent="0.5">
      <c r="B44" s="65"/>
      <c r="C44" s="67"/>
      <c r="D44" s="67"/>
      <c r="E44" s="67"/>
      <c r="F44" s="80"/>
      <c r="H44" s="81"/>
      <c r="I44" s="82" t="s">
        <v>3</v>
      </c>
      <c r="K44" s="83"/>
      <c r="L44" s="83"/>
      <c r="M44" s="83"/>
      <c r="N44" s="83"/>
      <c r="O44" s="84"/>
      <c r="P44" s="73"/>
      <c r="Q44" s="74"/>
      <c r="R44" s="74"/>
      <c r="S44" s="74"/>
      <c r="T44" s="74"/>
      <c r="U44" s="74"/>
      <c r="V44" s="74"/>
      <c r="W44" s="74"/>
      <c r="X44" s="74"/>
      <c r="Y44" s="74"/>
      <c r="Z44" s="74"/>
      <c r="AA44" s="74"/>
      <c r="AB44" s="74"/>
      <c r="AC44" s="74"/>
      <c r="AD44" s="74"/>
      <c r="AE44" s="74"/>
      <c r="AF44" s="74"/>
      <c r="AG44" s="74"/>
      <c r="AH44" s="74"/>
      <c r="AI44" s="74"/>
      <c r="AJ44" s="74"/>
      <c r="AK44" s="74"/>
      <c r="AL44" s="74"/>
      <c r="AM44" s="74"/>
      <c r="AN44" s="74"/>
      <c r="AO44" s="74"/>
    </row>
    <row r="45" spans="2:41" s="71" customFormat="1" ht="52.5" customHeight="1" thickBot="1" x14ac:dyDescent="0.55000000000000004">
      <c r="B45" s="65" t="s">
        <v>27</v>
      </c>
      <c r="C45" s="67"/>
      <c r="D45" s="67">
        <f>+D10</f>
        <v>4.3499999999999996</v>
      </c>
      <c r="E45" s="67">
        <f>+E12</f>
        <v>0.5</v>
      </c>
      <c r="F45" s="85"/>
      <c r="G45" s="86">
        <f>+I45/172</f>
        <v>1320</v>
      </c>
      <c r="H45" s="86">
        <f>+G45-$G$21</f>
        <v>139.23469387755154</v>
      </c>
      <c r="I45" s="87">
        <f>+(C42*G41)*172</f>
        <v>227040</v>
      </c>
      <c r="J45" s="71" t="s">
        <v>6</v>
      </c>
      <c r="K45" s="83">
        <f>+I45*K41*D45</f>
        <v>679485.31200000003</v>
      </c>
      <c r="L45" s="83">
        <v>0</v>
      </c>
      <c r="M45" s="83">
        <f>+I45*N41*E45</f>
        <v>35418.239999999991</v>
      </c>
      <c r="N45" s="83">
        <f t="shared" ref="N45" si="15">SUM(K45:M45)</f>
        <v>714903.55200000003</v>
      </c>
      <c r="O45" s="84">
        <f>+N45/I45</f>
        <v>3.1488</v>
      </c>
      <c r="P45" s="73"/>
      <c r="Q45" s="74"/>
      <c r="R45" s="74"/>
      <c r="S45" s="74"/>
      <c r="T45" s="74"/>
      <c r="U45" s="74"/>
      <c r="V45" s="74"/>
      <c r="W45" s="74"/>
      <c r="X45" s="74"/>
      <c r="Y45" s="74"/>
      <c r="Z45" s="74"/>
      <c r="AA45" s="74"/>
      <c r="AB45" s="74"/>
      <c r="AC45" s="74"/>
      <c r="AD45" s="74"/>
      <c r="AE45" s="74"/>
      <c r="AF45" s="74"/>
      <c r="AG45" s="74"/>
      <c r="AH45" s="74"/>
      <c r="AI45" s="74"/>
      <c r="AJ45" s="74"/>
      <c r="AK45" s="74"/>
      <c r="AL45" s="74"/>
      <c r="AM45" s="74"/>
      <c r="AN45" s="74"/>
      <c r="AO45" s="74"/>
    </row>
    <row r="46" spans="2:41" s="36" customFormat="1" ht="93" customHeight="1" thickBot="1" x14ac:dyDescent="0.95">
      <c r="B46" s="33"/>
      <c r="C46" s="34"/>
      <c r="D46" s="34"/>
      <c r="E46" s="35"/>
      <c r="J46" s="137" t="s">
        <v>59</v>
      </c>
      <c r="K46" s="137"/>
      <c r="L46" s="137"/>
      <c r="M46" s="137"/>
      <c r="N46" s="40">
        <f>+N45+N43</f>
        <v>941580.28800000006</v>
      </c>
      <c r="O46" s="32"/>
      <c r="P46" s="37"/>
      <c r="Q46" s="38"/>
      <c r="R46" s="38"/>
      <c r="S46" s="38"/>
      <c r="T46" s="38"/>
      <c r="U46" s="38"/>
      <c r="V46" s="38"/>
      <c r="W46" s="38"/>
      <c r="X46" s="38"/>
      <c r="Y46" s="38"/>
      <c r="Z46" s="38"/>
      <c r="AA46" s="38"/>
      <c r="AB46" s="38"/>
      <c r="AC46" s="38"/>
      <c r="AD46" s="38"/>
      <c r="AE46" s="38"/>
      <c r="AF46" s="38"/>
      <c r="AG46" s="38"/>
      <c r="AH46" s="38"/>
      <c r="AI46" s="38"/>
      <c r="AJ46" s="38"/>
      <c r="AK46" s="38"/>
      <c r="AL46" s="38"/>
      <c r="AM46" s="38"/>
      <c r="AN46" s="38"/>
      <c r="AO46" s="38"/>
    </row>
    <row r="47" spans="2:41" ht="50.25" customHeight="1" thickBot="1" x14ac:dyDescent="0.75">
      <c r="B47" s="149" t="s">
        <v>33</v>
      </c>
      <c r="C47" s="150"/>
      <c r="D47" s="150"/>
      <c r="E47" s="150"/>
      <c r="F47" s="150"/>
      <c r="G47" s="150"/>
      <c r="H47" s="150"/>
      <c r="I47" s="150"/>
      <c r="J47" s="150"/>
      <c r="K47" s="150"/>
      <c r="L47" s="150"/>
      <c r="M47" s="150"/>
      <c r="N47" s="150"/>
      <c r="O47" s="150"/>
      <c r="P47" s="25"/>
    </row>
    <row r="48" spans="2:41" s="41" customFormat="1" ht="60.75" customHeight="1" thickBot="1" x14ac:dyDescent="0.3">
      <c r="B48" s="49" t="s">
        <v>53</v>
      </c>
      <c r="C48" s="157" t="s">
        <v>34</v>
      </c>
      <c r="D48" s="157"/>
      <c r="E48" s="157"/>
      <c r="F48" s="157"/>
      <c r="G48" s="157"/>
      <c r="H48" s="157"/>
      <c r="I48" s="157"/>
      <c r="J48" s="157"/>
      <c r="K48" s="157"/>
      <c r="L48" s="157"/>
      <c r="M48" s="157"/>
      <c r="N48" s="157"/>
      <c r="O48" s="157"/>
      <c r="P48" s="158"/>
    </row>
    <row r="49" spans="2:41" s="41" customFormat="1" ht="96" customHeight="1" thickBot="1" x14ac:dyDescent="0.3">
      <c r="B49" s="49" t="s">
        <v>51</v>
      </c>
      <c r="C49" s="157" t="s">
        <v>37</v>
      </c>
      <c r="D49" s="157"/>
      <c r="E49" s="157"/>
      <c r="F49" s="157"/>
      <c r="G49" s="157"/>
      <c r="H49" s="157"/>
      <c r="I49" s="157"/>
      <c r="J49" s="157"/>
      <c r="K49" s="157"/>
      <c r="L49" s="157"/>
      <c r="M49" s="157"/>
      <c r="N49" s="157"/>
      <c r="O49" s="157"/>
      <c r="P49" s="158"/>
    </row>
    <row r="50" spans="2:41" s="41" customFormat="1" ht="96" customHeight="1" thickBot="1" x14ac:dyDescent="0.3">
      <c r="B50" s="49" t="s">
        <v>52</v>
      </c>
      <c r="C50" s="157" t="s">
        <v>35</v>
      </c>
      <c r="D50" s="157"/>
      <c r="E50" s="157"/>
      <c r="F50" s="157"/>
      <c r="G50" s="157"/>
      <c r="H50" s="157"/>
      <c r="I50" s="157"/>
      <c r="J50" s="157"/>
      <c r="K50" s="157"/>
      <c r="L50" s="157"/>
      <c r="M50" s="157"/>
      <c r="N50" s="157"/>
      <c r="O50" s="157"/>
      <c r="P50" s="158"/>
    </row>
    <row r="51" spans="2:41" s="42" customFormat="1" ht="96" customHeight="1" x14ac:dyDescent="0.25">
      <c r="B51" s="50" t="s">
        <v>54</v>
      </c>
      <c r="C51" s="152" t="s">
        <v>38</v>
      </c>
      <c r="D51" s="153"/>
      <c r="E51" s="153"/>
      <c r="F51" s="153"/>
      <c r="G51" s="153"/>
      <c r="H51" s="153"/>
      <c r="I51" s="153"/>
      <c r="J51" s="153"/>
      <c r="K51" s="153"/>
      <c r="L51" s="153"/>
      <c r="M51" s="153"/>
      <c r="N51" s="153"/>
      <c r="O51" s="153"/>
      <c r="P51" s="153"/>
      <c r="Q51" s="43"/>
      <c r="R51" s="43"/>
      <c r="S51" s="43"/>
      <c r="T51" s="43"/>
      <c r="U51" s="43"/>
      <c r="V51" s="43"/>
      <c r="W51" s="43"/>
      <c r="X51" s="43"/>
      <c r="Y51" s="43"/>
      <c r="Z51" s="43"/>
      <c r="AA51" s="43"/>
      <c r="AB51" s="43"/>
      <c r="AC51" s="43"/>
      <c r="AD51" s="43"/>
      <c r="AE51" s="43"/>
      <c r="AF51" s="43"/>
      <c r="AG51" s="43"/>
      <c r="AH51" s="43"/>
      <c r="AI51" s="43"/>
      <c r="AJ51" s="43"/>
      <c r="AK51" s="43"/>
      <c r="AL51" s="43"/>
      <c r="AM51" s="43"/>
      <c r="AN51" s="43"/>
      <c r="AO51" s="43"/>
    </row>
    <row r="52" spans="2:41" s="44" customFormat="1" ht="50.25" customHeight="1" x14ac:dyDescent="0.25">
      <c r="B52" s="51" t="s">
        <v>47</v>
      </c>
      <c r="C52" s="151" t="s">
        <v>48</v>
      </c>
      <c r="D52" s="151"/>
      <c r="E52" s="151"/>
      <c r="F52" s="151"/>
      <c r="G52" s="151"/>
      <c r="H52" s="151"/>
      <c r="I52" s="151"/>
      <c r="J52" s="151"/>
      <c r="K52" s="151"/>
      <c r="L52" s="151"/>
      <c r="M52" s="151"/>
      <c r="N52" s="151"/>
      <c r="O52" s="151"/>
      <c r="P52" s="151"/>
      <c r="Q52" s="45"/>
      <c r="R52" s="45"/>
      <c r="S52" s="45"/>
      <c r="T52" s="45"/>
      <c r="U52" s="45"/>
      <c r="V52" s="45"/>
      <c r="W52" s="45"/>
      <c r="X52" s="45"/>
      <c r="Y52" s="45"/>
      <c r="Z52" s="45"/>
      <c r="AA52" s="45"/>
      <c r="AB52" s="45"/>
      <c r="AC52" s="45"/>
      <c r="AD52" s="45"/>
      <c r="AE52" s="45"/>
      <c r="AF52" s="45"/>
      <c r="AG52" s="45"/>
      <c r="AH52" s="45"/>
      <c r="AI52" s="45"/>
      <c r="AJ52" s="45"/>
      <c r="AK52" s="45"/>
      <c r="AL52" s="45"/>
      <c r="AM52" s="45"/>
      <c r="AN52" s="45"/>
      <c r="AO52" s="45"/>
    </row>
    <row r="53" spans="2:41" s="44" customFormat="1" ht="58.5" customHeight="1" x14ac:dyDescent="0.25">
      <c r="B53" s="51" t="s">
        <v>49</v>
      </c>
      <c r="C53" s="151" t="s">
        <v>50</v>
      </c>
      <c r="D53" s="151"/>
      <c r="E53" s="151"/>
      <c r="F53" s="151"/>
      <c r="G53" s="151"/>
      <c r="H53" s="151"/>
      <c r="I53" s="151"/>
      <c r="J53" s="151"/>
      <c r="K53" s="151"/>
      <c r="L53" s="151"/>
      <c r="M53" s="151"/>
      <c r="N53" s="151"/>
      <c r="O53" s="151"/>
      <c r="P53" s="151"/>
      <c r="Q53" s="45"/>
      <c r="R53" s="45"/>
      <c r="S53" s="45"/>
      <c r="T53" s="45"/>
      <c r="U53" s="45"/>
      <c r="V53" s="45"/>
      <c r="W53" s="45"/>
      <c r="X53" s="45"/>
      <c r="Y53" s="45"/>
      <c r="Z53" s="45"/>
      <c r="AA53" s="45"/>
      <c r="AB53" s="45"/>
      <c r="AC53" s="45"/>
      <c r="AD53" s="45"/>
      <c r="AE53" s="45"/>
      <c r="AF53" s="45"/>
      <c r="AG53" s="45"/>
      <c r="AH53" s="45"/>
      <c r="AI53" s="45"/>
      <c r="AJ53" s="45"/>
      <c r="AK53" s="45"/>
      <c r="AL53" s="45"/>
      <c r="AM53" s="45"/>
      <c r="AN53" s="45"/>
      <c r="AO53" s="45"/>
    </row>
    <row r="54" spans="2:41" s="46" customFormat="1" ht="60.75" customHeight="1" x14ac:dyDescent="0.7">
      <c r="B54" s="48" t="s">
        <v>55</v>
      </c>
      <c r="C54" s="154" t="s">
        <v>56</v>
      </c>
      <c r="D54" s="155"/>
      <c r="E54" s="155"/>
      <c r="F54" s="155"/>
      <c r="G54" s="155"/>
      <c r="H54" s="155"/>
      <c r="I54" s="155"/>
      <c r="J54" s="155"/>
      <c r="K54" s="155"/>
      <c r="L54" s="155"/>
      <c r="M54" s="155"/>
      <c r="N54" s="155"/>
      <c r="O54" s="155"/>
      <c r="P54" s="156"/>
      <c r="Q54" s="47"/>
      <c r="R54" s="47"/>
      <c r="S54" s="47"/>
      <c r="T54" s="47"/>
      <c r="U54" s="47"/>
      <c r="V54" s="47"/>
      <c r="W54" s="47"/>
      <c r="X54" s="47"/>
      <c r="Y54" s="47"/>
      <c r="Z54" s="47"/>
      <c r="AA54" s="47"/>
      <c r="AB54" s="47"/>
      <c r="AC54" s="47"/>
      <c r="AD54" s="47"/>
      <c r="AE54" s="47"/>
      <c r="AF54" s="47"/>
      <c r="AG54" s="47"/>
      <c r="AH54" s="47"/>
      <c r="AI54" s="47"/>
      <c r="AJ54" s="47"/>
      <c r="AK54" s="47"/>
      <c r="AL54" s="47"/>
      <c r="AM54" s="47"/>
      <c r="AN54" s="47"/>
      <c r="AO54" s="47"/>
    </row>
  </sheetData>
  <sheetProtection algorithmName="SHA-512" hashValue="2NQMCVJkw1nOXf8qTtt3/BOiwerfjxaawWXcAASI1rRq7MaMTNfE0elAO5pNbbPi/8N1J1UZhnKzCRurCHpxyw==" saltValue="JksuwGC0lss+NUqzhSKeUQ==" spinCount="100000" sheet="1" objects="1" scenarios="1"/>
  <mergeCells count="21">
    <mergeCell ref="B47:O47"/>
    <mergeCell ref="C52:P52"/>
    <mergeCell ref="C53:P53"/>
    <mergeCell ref="C51:P51"/>
    <mergeCell ref="C54:P54"/>
    <mergeCell ref="C48:P48"/>
    <mergeCell ref="C49:P49"/>
    <mergeCell ref="C50:P50"/>
    <mergeCell ref="C1:K1"/>
    <mergeCell ref="L1:O1"/>
    <mergeCell ref="B2:O2"/>
    <mergeCell ref="B16:O16"/>
    <mergeCell ref="B32:O32"/>
    <mergeCell ref="B40:O40"/>
    <mergeCell ref="J46:M46"/>
    <mergeCell ref="B3:O3"/>
    <mergeCell ref="J38:M38"/>
    <mergeCell ref="J14:M14"/>
    <mergeCell ref="J30:M30"/>
    <mergeCell ref="J22:M22"/>
    <mergeCell ref="B24:O24"/>
  </mergeCells>
  <pageMargins left="0.2" right="0.2" top="0.25" bottom="0.25" header="0.3" footer="0.3"/>
  <pageSetup scale="22" fitToHeight="0" orientation="landscape" r:id="rId1"/>
  <rowBreaks count="1" manualBreakCount="1">
    <brk id="30" min="1" max="1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CEP Analysis</vt:lpstr>
      <vt:lpstr>'CEP Analysis'!Print_Area</vt:lpstr>
      <vt:lpstr>'CEP Analysis'!Print_Titles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Brianna Listermann</cp:lastModifiedBy>
  <cp:lastPrinted>2024-02-15T19:36:35Z</cp:lastPrinted>
  <dcterms:created xsi:type="dcterms:W3CDTF">2023-09-28T15:45:14Z</dcterms:created>
  <dcterms:modified xsi:type="dcterms:W3CDTF">2024-04-16T11:55:27Z</dcterms:modified>
</cp:coreProperties>
</file>